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molhsa\Desktop\OC reports and II Q dashboards_ HIV-TB 2019\"/>
    </mc:Choice>
  </mc:AlternateContent>
  <bookViews>
    <workbookView xWindow="0" yWindow="0" windowWidth="14380" windowHeight="4190" tabRatio="717" activeTab="6"/>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Entry'!$B$25:$J$68</definedName>
    <definedName name="PrintDataM">'Data Entry'!$B$70:$H$114</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7" i="37" l="1"/>
  <c r="E27" i="37"/>
  <c r="F26" i="37"/>
  <c r="E26" i="37"/>
  <c r="F25" i="37"/>
  <c r="E25" i="37"/>
  <c r="F24" i="37"/>
  <c r="E24" i="37"/>
  <c r="F23" i="37"/>
  <c r="E23" i="37"/>
  <c r="F22" i="37"/>
  <c r="E22" i="37"/>
  <c r="F21" i="37"/>
  <c r="E21" i="37"/>
  <c r="F20" i="37"/>
  <c r="E20" i="37"/>
  <c r="S135" i="29" l="1"/>
  <c r="S133" i="29"/>
  <c r="S131" i="29"/>
  <c r="S129" i="29"/>
  <c r="S127" i="29"/>
  <c r="S123" i="29"/>
  <c r="S121" i="29"/>
  <c r="H111" i="29" l="1"/>
  <c r="I111" i="29" s="1"/>
  <c r="S23" i="37" l="1"/>
  <c r="D58" i="29" l="1"/>
  <c r="D41" i="29"/>
  <c r="C57" i="29" l="1"/>
  <c r="C56" i="29"/>
  <c r="C58" i="29" l="1"/>
  <c r="D55" i="29"/>
  <c r="R133" i="29" l="1"/>
  <c r="R131" i="29"/>
  <c r="R121" i="29"/>
  <c r="R127" i="29"/>
  <c r="R129" i="29"/>
  <c r="R123" i="29"/>
  <c r="R124" i="29" l="1"/>
  <c r="R130" i="29"/>
  <c r="R135" i="29" l="1"/>
  <c r="M99" i="29" l="1"/>
  <c r="Q135" i="29" l="1"/>
  <c r="Q133" i="29"/>
  <c r="Q131" i="29"/>
  <c r="Q129" i="29"/>
  <c r="Q127" i="29"/>
  <c r="Q123" i="29"/>
  <c r="Q121" i="29"/>
  <c r="Q146" i="29" s="1"/>
  <c r="L99" i="29"/>
  <c r="L100" i="29"/>
  <c r="C32" i="29"/>
  <c r="I32" i="29"/>
  <c r="J32" i="29"/>
  <c r="P135" i="29"/>
  <c r="P133" i="29"/>
  <c r="P131" i="29"/>
  <c r="P130" i="29"/>
  <c r="P129" i="29"/>
  <c r="P127" i="29"/>
  <c r="P124" i="29"/>
  <c r="P149" i="29" s="1"/>
  <c r="P123" i="29"/>
  <c r="P148" i="29" s="1"/>
  <c r="P121" i="29"/>
  <c r="E56" i="29"/>
  <c r="O122" i="29"/>
  <c r="O147" i="29" s="1"/>
  <c r="O124" i="29"/>
  <c r="O130" i="29"/>
  <c r="O126" i="29"/>
  <c r="O135" i="29"/>
  <c r="O133" i="29"/>
  <c r="O131" i="29"/>
  <c r="O129" i="29"/>
  <c r="O127" i="29"/>
  <c r="O123" i="29"/>
  <c r="O148" i="29" s="1"/>
  <c r="O121" i="29"/>
  <c r="N130" i="29"/>
  <c r="N124" i="29"/>
  <c r="N149" i="29" s="1"/>
  <c r="N135" i="29"/>
  <c r="N131" i="29"/>
  <c r="N133" i="29"/>
  <c r="N129" i="29"/>
  <c r="N123" i="29"/>
  <c r="N127" i="29"/>
  <c r="N121" i="29"/>
  <c r="M135" i="29"/>
  <c r="M133" i="29"/>
  <c r="M131" i="29"/>
  <c r="M129" i="29"/>
  <c r="M127" i="29"/>
  <c r="M123" i="29"/>
  <c r="M148" i="29" s="1"/>
  <c r="M121" i="29"/>
  <c r="M146" i="29" s="1"/>
  <c r="C34" i="29"/>
  <c r="D34" i="29" s="1"/>
  <c r="E34" i="29" s="1"/>
  <c r="F34" i="29" s="1"/>
  <c r="G34" i="29" s="1"/>
  <c r="H34" i="29" s="1"/>
  <c r="L130" i="29"/>
  <c r="L123" i="29"/>
  <c r="L148" i="29" s="1"/>
  <c r="L135" i="29"/>
  <c r="L133" i="29"/>
  <c r="L131" i="29"/>
  <c r="L129" i="29"/>
  <c r="L127" i="29"/>
  <c r="L121" i="29"/>
  <c r="G28" i="37"/>
  <c r="K130" i="29"/>
  <c r="K135" i="29"/>
  <c r="K133" i="29"/>
  <c r="K131" i="29"/>
  <c r="K129" i="29"/>
  <c r="K123" i="29"/>
  <c r="K148" i="29" s="1"/>
  <c r="K127" i="29"/>
  <c r="K121" i="29"/>
  <c r="K146" i="29" s="1"/>
  <c r="J130" i="29"/>
  <c r="J135" i="29"/>
  <c r="E112" i="29"/>
  <c r="G112" i="29" s="1"/>
  <c r="I112" i="29" s="1"/>
  <c r="K31" i="35"/>
  <c r="E113" i="29"/>
  <c r="G113" i="29" s="1"/>
  <c r="I113" i="29" s="1"/>
  <c r="K32" i="35"/>
  <c r="E114" i="29"/>
  <c r="G114" i="29" s="1"/>
  <c r="I114" i="29" s="1"/>
  <c r="K33" i="35"/>
  <c r="E111" i="29"/>
  <c r="K30" i="35"/>
  <c r="C93" i="29"/>
  <c r="D93" i="29" s="1"/>
  <c r="E93" i="29" s="1"/>
  <c r="J131" i="29"/>
  <c r="J123" i="29"/>
  <c r="J148" i="29" s="1"/>
  <c r="J133" i="29"/>
  <c r="J129" i="29"/>
  <c r="J127" i="29"/>
  <c r="J121" i="29"/>
  <c r="J146" i="29" s="1"/>
  <c r="C50" i="29"/>
  <c r="H146" i="29"/>
  <c r="C101" i="29"/>
  <c r="D101" i="29" s="1"/>
  <c r="E101" i="29" s="1"/>
  <c r="F101" i="29" s="1"/>
  <c r="G101" i="29" s="1"/>
  <c r="H101" i="29" s="1"/>
  <c r="I101" i="29" s="1"/>
  <c r="J101" i="29" s="1"/>
  <c r="K101" i="29" s="1"/>
  <c r="L101" i="29" s="1"/>
  <c r="M101" i="29" s="1"/>
  <c r="N101" i="29" s="1"/>
  <c r="D50" i="29"/>
  <c r="C33" i="29"/>
  <c r="D33" i="29" s="1"/>
  <c r="B22" i="45"/>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92" i="29"/>
  <c r="D11" i="42"/>
  <c r="J3" i="35"/>
  <c r="L3" i="35"/>
  <c r="I3" i="30"/>
  <c r="K3" i="30"/>
  <c r="H22" i="30" s="1"/>
  <c r="D33" i="42"/>
  <c r="D34" i="42"/>
  <c r="D35" i="42"/>
  <c r="D36" i="42"/>
  <c r="D37" i="42"/>
  <c r="D38" i="42"/>
  <c r="D39" i="42"/>
  <c r="D40" i="42"/>
  <c r="D41" i="42"/>
  <c r="D32" i="42"/>
  <c r="L147" i="29"/>
  <c r="M147" i="29"/>
  <c r="N147" i="29"/>
  <c r="P147" i="29"/>
  <c r="Q147" i="29"/>
  <c r="R147" i="29"/>
  <c r="S147" i="29"/>
  <c r="N148" i="29"/>
  <c r="Q148" i="29"/>
  <c r="R148" i="29"/>
  <c r="S148" i="29"/>
  <c r="L149" i="29"/>
  <c r="M149" i="29"/>
  <c r="O149" i="29"/>
  <c r="Q149" i="29"/>
  <c r="R149" i="29"/>
  <c r="S149" i="29"/>
  <c r="L150" i="29"/>
  <c r="M150" i="29"/>
  <c r="N150" i="29"/>
  <c r="O150" i="29"/>
  <c r="P150" i="29"/>
  <c r="Q150" i="29"/>
  <c r="R150" i="29"/>
  <c r="S150" i="29"/>
  <c r="L151" i="29"/>
  <c r="M151" i="29"/>
  <c r="N151" i="29"/>
  <c r="O151" i="29"/>
  <c r="P151" i="29"/>
  <c r="Q151" i="29"/>
  <c r="R151" i="29"/>
  <c r="S151" i="29"/>
  <c r="N146" i="29"/>
  <c r="O146" i="29"/>
  <c r="P146" i="29"/>
  <c r="R146" i="29"/>
  <c r="S146" i="29"/>
  <c r="F148" i="29"/>
  <c r="F150" i="29"/>
  <c r="F146" i="29"/>
  <c r="E148" i="29"/>
  <c r="E150" i="29"/>
  <c r="E146" i="29"/>
  <c r="B148" i="29"/>
  <c r="B150" i="29"/>
  <c r="B146" i="29"/>
  <c r="B32" i="29"/>
  <c r="D38" i="29"/>
  <c r="C38" i="29"/>
  <c r="B31" i="29"/>
  <c r="E54"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51" i="29"/>
  <c r="K150" i="29"/>
  <c r="K149" i="29"/>
  <c r="K147" i="29"/>
  <c r="G75"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3" i="29"/>
  <c r="D103" i="29" s="1"/>
  <c r="E103" i="29" s="1"/>
  <c r="F103" i="29" s="1"/>
  <c r="G103" i="29" s="1"/>
  <c r="H103" i="29" s="1"/>
  <c r="I103" i="29" s="1"/>
  <c r="J103" i="29" s="1"/>
  <c r="K103" i="29" s="1"/>
  <c r="L103" i="29" s="1"/>
  <c r="M103" i="29" s="1"/>
  <c r="N103" i="29" s="1"/>
  <c r="C102" i="29"/>
  <c r="D102" i="29" s="1"/>
  <c r="E102" i="29" s="1"/>
  <c r="F102" i="29" s="1"/>
  <c r="G102" i="29" s="1"/>
  <c r="H102" i="29" s="1"/>
  <c r="I102" i="29" s="1"/>
  <c r="J102" i="29" s="1"/>
  <c r="K102" i="29" s="1"/>
  <c r="E82" i="29"/>
  <c r="D5" i="35"/>
  <c r="E4" i="35"/>
  <c r="K5" i="35"/>
  <c r="J4" i="35"/>
  <c r="D5" i="37"/>
  <c r="P5" i="37"/>
  <c r="P4" i="37"/>
  <c r="O3" i="37"/>
  <c r="J5" i="30"/>
  <c r="D5" i="30"/>
  <c r="I4" i="30"/>
  <c r="E4" i="30"/>
  <c r="L8" i="37"/>
  <c r="F8" i="37"/>
  <c r="B8" i="37"/>
  <c r="L146" i="29"/>
  <c r="J151" i="29"/>
  <c r="J150" i="29"/>
  <c r="J149" i="29"/>
  <c r="J147" i="29"/>
  <c r="I151" i="29"/>
  <c r="I150" i="29"/>
  <c r="I149" i="29"/>
  <c r="I148" i="29"/>
  <c r="I147" i="29"/>
  <c r="I146" i="29"/>
  <c r="H151" i="29"/>
  <c r="H150" i="29"/>
  <c r="H149" i="29"/>
  <c r="H148" i="29"/>
  <c r="H147" i="29"/>
  <c r="B26" i="37"/>
  <c r="B25" i="37"/>
  <c r="B24" i="37"/>
  <c r="B23" i="37"/>
  <c r="S145" i="29"/>
  <c r="R145" i="29"/>
  <c r="Q145" i="29"/>
  <c r="P145" i="29"/>
  <c r="O145" i="29"/>
  <c r="B22" i="37"/>
  <c r="B21" i="37"/>
  <c r="B20" i="37"/>
  <c r="E58" i="29"/>
  <c r="B27" i="37"/>
  <c r="N145" i="29"/>
  <c r="M145" i="29"/>
  <c r="L145" i="29"/>
  <c r="K145" i="29"/>
  <c r="J145" i="29"/>
  <c r="I145" i="29"/>
  <c r="H145" i="29"/>
  <c r="B36" i="39"/>
  <c r="B34" i="39"/>
  <c r="E57"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F20" i="42"/>
  <c r="AE23" i="37"/>
  <c r="AF23" i="37"/>
  <c r="AF22" i="37"/>
  <c r="AD22" i="37"/>
  <c r="AE22" i="37"/>
  <c r="AD24" i="37"/>
  <c r="AF24" i="37"/>
  <c r="AE24" i="37"/>
  <c r="R29" i="29"/>
  <c r="C35" i="29"/>
  <c r="D30" i="42"/>
  <c r="D31" i="42"/>
  <c r="D29" i="42"/>
  <c r="L102" i="29" l="1"/>
  <c r="M102" i="29" s="1"/>
  <c r="N102" i="29" s="1"/>
  <c r="C55" i="29"/>
  <c r="B22" i="30"/>
  <c r="B8" i="30"/>
  <c r="I34" i="29"/>
  <c r="J34" i="29" s="1"/>
  <c r="K34" i="29" s="1"/>
  <c r="L34" i="29" s="1"/>
  <c r="M34" i="29" s="1"/>
  <c r="N34" i="29" s="1"/>
  <c r="B3" i="32"/>
  <c r="H15" i="35"/>
  <c r="E33" i="29"/>
  <c r="D35" i="29"/>
  <c r="R30" i="29"/>
  <c r="K114" i="29"/>
  <c r="J33" i="35"/>
  <c r="L33" i="35" s="1"/>
  <c r="K112" i="29"/>
  <c r="L31" i="35"/>
  <c r="K111" i="29"/>
  <c r="J30" i="35"/>
  <c r="L30" i="35" s="1"/>
  <c r="J32" i="35"/>
  <c r="L32" i="35" s="1"/>
  <c r="K113" i="29"/>
  <c r="H8" i="30"/>
  <c r="E55" i="29"/>
  <c r="G27" i="37"/>
  <c r="B7" i="35"/>
  <c r="H26" i="35"/>
  <c r="H7" i="35"/>
  <c r="B15" i="35"/>
  <c r="G25" i="37"/>
  <c r="G26" i="37"/>
  <c r="G24" i="37"/>
  <c r="G20" i="37"/>
  <c r="G21" i="37"/>
  <c r="G23" i="37"/>
  <c r="G22" i="37"/>
  <c r="E35" i="29" l="1"/>
  <c r="R31" i="29"/>
  <c r="F33" i="29"/>
  <c r="G33" i="29" l="1"/>
  <c r="F35" i="29"/>
  <c r="R32" i="29"/>
  <c r="H33" i="29" l="1"/>
  <c r="R33" i="29"/>
  <c r="G35" i="29"/>
  <c r="H35" i="29" l="1"/>
  <c r="I33" i="29"/>
  <c r="R34" i="29"/>
  <c r="I35" i="29" l="1"/>
  <c r="J33" i="29"/>
  <c r="R35" i="29"/>
  <c r="R52" i="29" l="1"/>
  <c r="K33" i="29"/>
  <c r="J35" i="29"/>
  <c r="K35" i="29" l="1"/>
  <c r="L33" i="29"/>
  <c r="R53" i="29"/>
  <c r="L35" i="29" l="1"/>
  <c r="M33" i="29"/>
  <c r="M35" i="29" l="1"/>
  <c r="F50" i="29"/>
  <c r="N33" i="29"/>
  <c r="N35" i="29" s="1"/>
  <c r="O31" i="29" s="1"/>
  <c r="Q54" i="29"/>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5" authorId="1" shapeId="0">
      <text>
        <r>
          <rPr>
            <b/>
            <sz val="8"/>
            <color indexed="81"/>
            <rFont val="Tahoma"/>
            <family val="2"/>
          </rPr>
          <t xml:space="preserve">If data are not available, do not enter zeros; rather, leave the cells in the table blank. </t>
        </r>
      </text>
    </comment>
    <comment ref="B76" authorId="1" shapeId="0">
      <text>
        <r>
          <rPr>
            <b/>
            <sz val="8"/>
            <color indexed="81"/>
            <rFont val="Tahoma"/>
            <family val="2"/>
          </rPr>
          <t>If data are not available, do not enter zeros; rather, leave the cells in this table blank.</t>
        </r>
      </text>
    </comment>
    <comment ref="B82" authorId="0" shapeId="0">
      <text>
        <r>
          <rPr>
            <sz val="8"/>
            <color indexed="81"/>
            <rFont val="Tahoma"/>
            <family val="2"/>
          </rPr>
          <t xml:space="preserve">If data are not available, do not enter zeros; rather, leave the cells in this table blank. </t>
        </r>
      </text>
    </comment>
    <comment ref="B97"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<sst xmlns="http://schemas.openxmlformats.org/spreadsheetml/2006/main" count="650" uniqueCount="497">
  <si>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</si>
  <si>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</si>
  <si>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</si>
  <si>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</si>
  <si>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</si>
  <si>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</si>
  <si>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</si>
  <si>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</si>
  <si>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</si>
  <si>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</si>
  <si>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</si>
  <si>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</si>
  <si>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</si>
  <si>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</si>
  <si>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</si>
  <si>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</si>
  <si>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</si>
  <si>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</si>
  <si>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</si>
  <si>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</si>
  <si>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</si>
  <si>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</si>
  <si>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</si>
  <si>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</si>
  <si>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</si>
  <si>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</si>
  <si>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</si>
  <si>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</si>
  <si>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</si>
  <si>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</si>
  <si>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</si>
  <si>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</si>
  <si>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</si>
  <si>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</si>
  <si>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</si>
  <si>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</si>
  <si>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</si>
  <si>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</si>
  <si>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</si>
  <si>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</si>
  <si>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</si>
  <si>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</si>
  <si>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</si>
  <si>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</si>
  <si>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</si>
  <si>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</si>
  <si>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</si>
  <si>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</si>
  <si>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</si>
  <si>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</si>
  <si>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</si>
  <si>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</si>
  <si>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</si>
  <si>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</si>
  <si>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</si>
  <si>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</si>
  <si>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</si>
  <si>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</si>
  <si>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</si>
  <si>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</si>
  <si>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</si>
  <si>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</si>
  <si>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</si>
  <si>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</si>
  <si>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</si>
  <si>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</si>
  <si>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</si>
  <si>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</si>
  <si>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</si>
  <si>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</si>
  <si>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</si>
  <si>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</si>
  <si>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</si>
  <si>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</si>
  <si>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</si>
  <si>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</si>
  <si>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</si>
  <si>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</si>
  <si>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</si>
  <si>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</si>
  <si>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</si>
  <si>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</si>
  <si>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</si>
  <si>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</si>
  <si>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</si>
  <si>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</si>
  <si>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</si>
  <si>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</si>
  <si>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</si>
  <si>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</si>
  <si>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</si>
  <si>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</si>
  <si>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</si>
  <si>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</si>
  <si>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</si>
  <si>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</si>
  <si>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</si>
  <si>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</si>
  <si>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</si>
  <si>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</si>
  <si>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</si>
  <si>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</si>
  <si>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</si>
  <si>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</si>
  <si>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</si>
  <si>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</si>
  <si>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</si>
  <si>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</si>
  <si>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</si>
  <si>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</si>
  <si>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</si>
  <si>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</si>
  <si>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</si>
  <si>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</si>
  <si>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</si>
  <si>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</si>
  <si>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</si>
  <si>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</si>
  <si>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</si>
  <si>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</si>
  <si>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</si>
  <si>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</si>
  <si>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</si>
  <si>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</si>
  <si>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</si>
  <si>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</si>
  <si>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</si>
  <si>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</si>
  <si>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</si>
  <si>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</si>
  <si>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</si>
  <si>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</si>
  <si>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</si>
  <si>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</si>
  <si>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</si>
  <si>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</si>
  <si>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</si>
  <si>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</si>
  <si>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</si>
  <si>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</si>
  <si>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</si>
  <si>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</si>
  <si>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</si>
  <si>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</si>
  <si>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</si>
  <si>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</si>
  <si>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</si>
  <si>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</si>
  <si>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</si>
  <si>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</si>
  <si>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</si>
  <si>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</si>
  <si>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</si>
  <si>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</si>
  <si>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</si>
  <si>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</si>
  <si>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</si>
  <si>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</si>
  <si>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</si>
  <si>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</si>
  <si>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</si>
  <si>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</si>
  <si>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</si>
  <si>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</si>
  <si>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</si>
  <si>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</si>
  <si>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</si>
  <si>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</si>
  <si>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</si>
  <si>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</si>
  <si>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</si>
  <si>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</si>
  <si>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</si>
  <si>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</si>
  <si>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</si>
  <si>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</si>
  <si>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</si>
  <si>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</si>
  <si>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</si>
  <si>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</si>
  <si>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</si>
  <si>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</si>
  <si>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</si>
  <si>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</si>
  <si>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</si>
  <si>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</si>
  <si>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</si>
  <si>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</si>
  <si>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</si>
  <si>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</si>
  <si>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</si>
  <si>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</si>
  <si>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</si>
  <si>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</si>
  <si>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</si>
  <si>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</si>
  <si>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</si>
  <si>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</si>
  <si>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</si>
  <si>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</si>
  <si>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</si>
  <si>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</si>
  <si>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</si>
  <si>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</si>
  <si>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</si>
  <si>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</si>
  <si>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</si>
  <si>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</si>
  <si>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</si>
  <si>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</si>
  <si>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</si>
  <si>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</si>
  <si>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</si>
  <si>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</si>
  <si>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</si>
  <si>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</si>
  <si>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</si>
  <si>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</si>
  <si>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</si>
  <si>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</si>
  <si>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</si>
  <si>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</si>
  <si>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</si>
  <si>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</si>
  <si>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</si>
  <si>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</si>
  <si>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</si>
  <si>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</si>
  <si>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</si>
  <si>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</si>
  <si>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</si>
  <si>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</si>
  <si>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</si>
  <si>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</si>
  <si>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</si>
  <si>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</si>
  <si>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</si>
  <si>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</si>
  <si>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</si>
  <si>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</si>
  <si>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</si>
  <si>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</si>
  <si>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</si>
  <si>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</si>
  <si>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</si>
  <si>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</si>
  <si>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</si>
  <si>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</si>
  <si>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</si>
  <si>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</si>
  <si>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</si>
  <si>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</si>
  <si>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</si>
  <si>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</si>
  <si>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</si>
  <si>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</si>
  <si>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</si>
  <si>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</si>
  <si>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</si>
  <si>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</si>
  <si>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</si>
  <si>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</si>
  <si>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</si>
  <si>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</si>
  <si>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</si>
  <si>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</si>
  <si>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</si>
  <si>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</si>
  <si>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</si>
  <si>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</si>
  <si>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</si>
  <si>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</si>
  <si>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</si>
  <si>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</si>
  <si>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</si>
  <si>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</si>
  <si>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</si>
  <si>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</si>
  <si>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</si>
  <si>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</si>
  <si>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</si>
  <si>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</si>
  <si>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</si>
  <si>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</si>
  <si>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</si>
  <si>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</si>
  <si>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</si>
  <si>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</si>
  <si>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</si>
  <si>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</si>
  <si>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</si>
  <si>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</si>
  <si>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</si>
  <si>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</si>
  <si>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</si>
  <si>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</si>
  <si>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</si>
  <si>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</si>
  <si>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</si>
  <si>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</si>
  <si>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</si>
  <si>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</si>
  <si>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</si>
  <si>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</si>
  <si>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</si>
  <si>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</si>
  <si>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</si>
  <si>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</si>
  <si>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</si>
  <si>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</si>
  <si>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</si>
  <si>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</si>
  <si>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</si>
  <si>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</si>
  <si>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</si>
  <si>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</si>
  <si>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</si>
  <si>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</si>
  <si>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</si>
  <si>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</si>
  <si>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</si>
  <si>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</si>
  <si>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</si>
  <si>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</si>
  <si>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</si>
  <si>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</si>
  <si>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</si>
  <si>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</si>
  <si>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</si>
  <si>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</si>
  <si>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</si>
  <si>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</si>
  <si>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</si>
  <si>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</si>
  <si>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</si>
  <si>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</si>
  <si>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</si>
  <si>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</si>
  <si>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</si>
  <si>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</si>
  <si>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</si>
  <si>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</si>
  <si>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</si>
  <si>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</si>
  <si>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</si>
  <si>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</si>
  <si>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</si>
  <si>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</si>
  <si>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</si>
  <si>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</si>
  <si>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</si>
  <si>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</si>
  <si>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</si>
  <si>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</si>
  <si>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</si>
  <si>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</si>
  <si>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</si>
  <si>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</si>
  <si>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</si>
  <si>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</si>
  <si>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</si>
  <si>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</si>
  <si>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</si>
  <si>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</si>
  <si>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</si>
  <si>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</si>
  <si>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</si>
  <si>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</si>
  <si>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</si>
  <si>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</si>
  <si>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</si>
  <si>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</si>
  <si>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</si>
  <si>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</si>
  <si>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</si>
  <si>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</si>
  <si>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</si>
  <si>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</si>
  <si>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</si>
  <si>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</si>
  <si>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</si>
  <si>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</si>
  <si>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</si>
  <si>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</si>
  <si>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</si>
  <si>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</si>
  <si>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</si>
  <si>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</si>
  <si>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</si>
  <si>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</si>
  <si>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</si>
  <si>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</si>
  <si>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</si>
  <si>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</si>
  <si>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</si>
  <si>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</si>
  <si>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</si>
  <si>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</si>
  <si>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</si>
  <si>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</si>
  <si>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</si>
  <si>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</si>
  <si>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</si>
  <si>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</si>
  <si>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</si>
  <si>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</si>
  <si>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</si>
  <si>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</si>
  <si>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</si>
  <si>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</si>
  <si>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</si>
  <si>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</si>
  <si>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</si>
  <si>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</si>
  <si>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</si>
  <si>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Alexander Asatiani</t>
  </si>
  <si>
    <t>Zidovudine/Lamivudine</t>
  </si>
  <si>
    <t>Syringes (1ml)</t>
  </si>
  <si>
    <t>(1)
Number of tablets/mgs per patient per day
(Review country treatment guidelines)</t>
  </si>
  <si>
    <t>Treatment, care and support</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</si>
  <si>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</si>
  <si>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</si>
  <si>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</si>
  <si>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</si>
  <si>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</si>
  <si>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</si>
  <si>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</si>
  <si>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</si>
  <si>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</si>
  <si>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</si>
  <si>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</si>
  <si>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</si>
  <si>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</si>
  <si>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Percentage of other vulnerable populations (prisoners) that have received an HIV test during the reporting period and know their results</t>
  </si>
  <si>
    <t>KP-3e</t>
  </si>
  <si>
    <t xml:space="preserve">Percentage of people living with HIV currently receiving antiretroviral therapy </t>
  </si>
  <si>
    <t>TCS-1</t>
  </si>
  <si>
    <t>N/A</t>
  </si>
  <si>
    <t>NFM</t>
  </si>
  <si>
    <t xml:space="preserve">Sustaining and Scaling up the Effective HIV/AIDS Prevention, Treatment and Care in Georgia </t>
  </si>
  <si>
    <t>IDACIRC</t>
  </si>
  <si>
    <t>HAPSF</t>
  </si>
  <si>
    <t>GHRN</t>
  </si>
  <si>
    <t>IMPHA</t>
  </si>
  <si>
    <t>CIF</t>
  </si>
  <si>
    <t>Equality</t>
  </si>
  <si>
    <t>Tanadgoma</t>
  </si>
  <si>
    <t>2 Projects</t>
  </si>
  <si>
    <t>NFM Grant Requirements</t>
  </si>
  <si>
    <t>Jul-Sep 2016</t>
  </si>
  <si>
    <t>Oct-Dec 2017</t>
  </si>
  <si>
    <t>Jan-Mar 2017</t>
  </si>
  <si>
    <t>Condoms (Tanadgoma)</t>
  </si>
  <si>
    <t xml:space="preserve"> Percentage of individuals receiving Opioid Substitution Therapy who received treatment for at least 6 months</t>
  </si>
  <si>
    <t>Jan-Jun 2017</t>
  </si>
  <si>
    <t>Jan-Sep 2017</t>
  </si>
  <si>
    <t>Jan-Mar 2018</t>
  </si>
  <si>
    <t>Jan-Dec 2017</t>
  </si>
  <si>
    <t>Condoms (EM)</t>
  </si>
  <si>
    <t>Apr- Jun 2018</t>
  </si>
  <si>
    <t>Jul-Sep 2018</t>
  </si>
  <si>
    <t>PMTCT</t>
  </si>
  <si>
    <t>RSSH: National health strategies</t>
  </si>
  <si>
    <t>HIV Testing Services</t>
  </si>
  <si>
    <t>Comprehensive prevention programs for MSM</t>
  </si>
  <si>
    <t>Comprehensive prevention programs for sex workers and their clients</t>
  </si>
  <si>
    <t>Comprehensive prevention programs for people who inject drugs (PWID) and their partners</t>
  </si>
  <si>
    <t>Comprehensive programs for people in prisons and other closed settings</t>
  </si>
  <si>
    <t>RSSH: Health management information systems and M&amp;E</t>
  </si>
  <si>
    <t>Programs to reduce human rights-related barriers to HIV services</t>
  </si>
  <si>
    <t>Jan-June 2018</t>
  </si>
  <si>
    <t>Jan-Apr 2019</t>
  </si>
  <si>
    <t>Tatyana Vinichenko</t>
  </si>
  <si>
    <t>KP-1d(M): Percentage of people who inject drugs reached with HIV prevention programs - defined package of services</t>
  </si>
  <si>
    <t>KP-3d(M): Percentage of people who inject drugs that have received an HIV test during the reporting period and know their results</t>
  </si>
  <si>
    <t>KP-1a(M): Percentage of MSM reached with HIV prevention programs - defined package of services</t>
  </si>
  <si>
    <t>KP-3a(M): Percentage of MSM that have received an HIV test during the reporting period and know their results</t>
  </si>
  <si>
    <t>KP-other 1: Percentage of other vulnerable populations that have received an HIV test during the reporting period and know their results (prisoners)</t>
  </si>
  <si>
    <t>KP-1c(M): Percentage of sex workers reached with HIV prevention programs - defined package of services</t>
  </si>
  <si>
    <t>KP-3c(M): Percentage of sex workers that have received an HIV test during the reporting period and know their results</t>
  </si>
  <si>
    <t>TCS-1(M): Percentage of people living with HIV currently receiving antiretroviral therapy</t>
  </si>
  <si>
    <t>Numerator: Number and of IDUs reached by HIV/AIDS prevention programs during the last 6 months.  Denominator: Estimated number of IDUs in the country The last available result and final target represents the number based on first 6 month of 2015. The beneficiary is considered reached if received at least two services from the list of basic package (condom, consultation, information materials, syringe/needle) and one of them has to be syringe/needleI  at least once within a 6 month period. Clients' participation in informational events on HIV/AIDS awareness and safe behavior can be regarded as counseling. In addition beneficiaries can also receive other services (HIV, STIs, HBV, HCV testing, a referral to another specialists, and others) depending on the client’s needs. Targets for Jan-June are 6 month targets and Jul-Dec are 12 month targets (annual targets). Results of performance for period Jan -Jun 2017 - target 21570, will be reported in Febduary 2018 together with the results for July - Dec 2017 period.  Results of performance for period Jan -Jun 2018  - target 23310, will be reported in Febduary 2019 together with the results for July - Dec 2018 period.</t>
  </si>
  <si>
    <t>Targets represent number of people reached with VCT during each semi-annula period. The baseline represents the last available result for the first six months of 2015.  Targets for Jan-June are 6 month targets and Jul-Dec are 12 month targets (annual targets)  Results of performance for period Jan -Jun 2017 - target 19482, will be reported in Febduary 2018 together with the results for July - Dec 2017 period.  Results of performance for period Jan -Jun 2018  - target 20874, will be reported in Febduary 2019 together with the results for July - Dec 2018 period.</t>
  </si>
  <si>
    <t>Numerator: Number and of MSM reached by HIV/AIDS prevention programs during the last 6 months.  Denominator: Estimated number of MSM in the country, based on the MSM size estimateion study conducted in 2014.                                                                                                                              The last available result and final target represents the number based on first 6 month of 2015. MSM is considered to be reached with HIV prevention programs if received at least two services from the list of basic package (provision of condoms, lubricants, counseling and information materials) and one of them has to be condom  at least once within a 6 month period. Clients' participation in informational events on HIV/AIDS awareness and safe behavior can be regarded as counseling. In addition beneficiaries can also receive other services (HIV, STIs, a referral to another specialists, and others) depending on the client’s needs. Targets for Jan-June are 6 month targets and Jul-Dec are 12 month targets (annual targets).  Results of performance for period Jan -Jun 2017 - target 4165, will be reported in Febduary 2018 together with the results for July - Dec 2017 period.  Results of performance for period Jan -Jun 2018  - target 5950, will be reported in Febduary 2019 together with the results for July - Dec 2018 period.</t>
  </si>
  <si>
    <t>Targets represent number of people reached with VCT during each semi-annula period. The baseline represents the last available result for the first six months of 2015. Targets for Jan-June are 6 month targets and Jul-Dec are 12 month targets (annual targets).  Results of performance for period Jan -Jun 2017 - target 2550, will be reported in Febduary 2018 together with the results for July - Dec 2017 period.  Results of performance for period Jan -Jun 2018  - target 4080, will be reported in Febduary 2019 together with the results for July - Dec 2018 period.</t>
  </si>
  <si>
    <t>The baseline represents the last available result for the first six months of 2015. Targets for Jan-June are 6 month targets and Jul-Dec are 12 month targets (annual targets). Numerators and Denominators will be reported during PU and PUDR.Results of performance for period Jan -Jun 2017 - target 4025, will be reported in Febduary 2018 together with the results for July - Dec 2017 period.  Results of performance for period Jan -Jun 2018  - target 4375, will be reported in Febduary 2019 together with the results for July - Dec 2018 period.</t>
  </si>
  <si>
    <t>Numerator: Number and of FSW reached by HIV/AIDS prevention programs during the last 6 months.  Denominator: Estimated number of FSW in the country The last available result and final target represents the number based on first 6 month of 2015. The beneficiary is considered reached if received at least two services from the list of basic package (condom, information materials and counseling) and one of them has to be  condom  at least once within a 6 month period. Clients' participation in informational events on HIV/AIDS awareness and safe behavior can be regarded as counseling. In addition beneficiaries can also receive other services (HIV, STIs, HBV, HCV testing, a referral to another specialists, and others) depending on the client’s needs.Targets for Jan-June are 6 month targets and Jul-Dec are 12 month targets (annual targets).  Results of performance for period Jan -Jun 2017 - target 2285, will be reported in Febduary 2018 together with the results for July - Dec 2017 period.  Results of performance for period Jan -Jun 2018  - target 2741, will be reported in Febduary 2019 together with the results for July - Dec 2018 period.</t>
  </si>
  <si>
    <t>Targets represent number of people reached with VCT during each semi-annula period. The baseline represents the last available result for the first six months of 2015. Targets for Jan-June are 6 month targets and Jul-Dec are 12 month targets (annual targets).  Results of performance for period Jan -Jun 2017 - target 1827, will be reported in Febduary 2018 together with the results for July - Dec 2017 period.  Results of performance for period Jan -Jun 2018  - target 2285, will be reported in Febduary 2019 together with the results for July - Dec 2018 period.</t>
  </si>
  <si>
    <t>Country adopted treat all policy, which implies offering ART to all people who are already diagnosed with HIV. Because of  high rates of late HIV diagnosis in Georgia  the majority of our patinets have been already eligible  for ART at previous CD4&lt;500  recommendations. Switch to treat all policy in second half  of 2015 did not dramatically increase the number of people on ART. Proposed  scale-up is in line with propsoed coverage with HIV testing of key populaltions and takes into account  existing dynamics in HIV diagnosis. Currently approximately 40% of people living with  HIV remian  undiagnosed  and this is major problem.  More prominent scale-up in ART coverage will require more prominent scale-up in HIV testing . Without further scale-up of testing forecasting more patients on ART is not realistic. Denominator for the baseline is updated also as before it was representing alligable for treatment PLHIV, now it represents estimated number of all PLHIV.</t>
  </si>
  <si>
    <t>cummulative</t>
  </si>
  <si>
    <t>Programatic data (database)</t>
  </si>
  <si>
    <t>AIDS Center HMIS</t>
  </si>
  <si>
    <t xml:space="preserve">Programatic Data </t>
  </si>
  <si>
    <t>N-Non-cumulative</t>
  </si>
  <si>
    <t>Will be redistributed as needed from TG</t>
  </si>
  <si>
    <t>Annual Target</t>
  </si>
  <si>
    <t>Number of prison inmates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</si>
</sst>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164" formatCode="_-* #,##0.00\ _L_a_r_i_-;\-* #,##0.00\ _L_a_r_i_-;_-* &quot;-&quot;??\ _L_a_r_i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0.0%"/>
  </numFmts>
  <fonts count="142">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rgb="FF000000"/>
      <name val="Calibri"/>
      <family val="2"/>
      <scheme val="minor"/>
    </font>
    <font>
      <sz val="11"/>
      <color theme="0" tint="-0.14999847407452621"/>
      <name val="Calibri"/>
      <family val="2"/>
      <scheme val="minor"/>
    </font>
    <font>
      <sz val="11"/>
      <color rgb="FF0070C0"/>
      <name val="Calibri"/>
      <family val="2"/>
      <scheme val="minor"/>
    </font>
    <font>
      <sz val="11"/>
      <color theme="0" tint="-4.9989318521683403E-2"/>
      <name val="Calibri"/>
      <family val="2"/>
      <scheme val="minor"/>
    </font>
    <font>
      <i/>
      <sz val="11"/>
      <color theme="0" tint="-4.9989318521683403E-2"/>
      <name val="Calibri"/>
      <family val="2"/>
    </font>
    <font>
      <sz val="11"/>
      <color theme="0" tint="-4.9989318521683403E-2"/>
      <name val="Calibri"/>
      <family val="2"/>
    </font>
    <font>
      <sz val="10"/>
      <name val="Arial"/>
      <family val="2"/>
      <charset val="204"/>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43"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31" fillId="0" borderId="0"/>
    <xf numFmtId="43" fontId="131" fillId="0" borderId="0"/>
    <xf numFmtId="43" fontId="131" fillId="0" borderId="0"/>
    <xf numFmtId="43"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43" fontId="131"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31" fillId="0" borderId="9" applyNumberFormat="0" applyFill="0" applyAlignment="0" applyProtection="0"/>
    <xf numFmtId="0" fontId="76" fillId="0" borderId="0" applyNumberFormat="0" applyFill="0" applyBorder="0" applyAlignment="0" applyProtection="0"/>
    <xf numFmtId="164" fontId="135" fillId="0" borderId="0" applyFont="0" applyFill="0" applyBorder="0" applyAlignment="0" applyProtection="0"/>
    <xf numFmtId="0" fontId="2" fillId="0" borderId="0"/>
    <xf numFmtId="9" fontId="131" fillId="0" borderId="0" applyFont="0" applyFill="0" applyBorder="0" applyAlignment="0" applyProtection="0"/>
  </cellStyleXfs>
  <cellXfs count="974">
    <xf numFmtId="0" fontId="0" fillId="0" borderId="0" xfId="0"/>
    <xf numFmtId="43" fontId="16" fillId="0" borderId="0" xfId="39" applyFont="1" applyFill="1" applyAlignment="1">
      <alignment vertical="center"/>
    </xf>
    <xf numFmtId="0" fontId="0" fillId="0" borderId="0" xfId="0" applyBorder="1" applyProtection="1"/>
    <xf numFmtId="0" fontId="0" fillId="0" borderId="0" xfId="0" applyProtection="1"/>
    <xf numFmtId="43" fontId="22" fillId="0" borderId="0" xfId="39" applyFont="1" applyFill="1" applyAlignment="1" applyProtection="1">
      <alignment vertical="center"/>
    </xf>
    <xf numFmtId="0" fontId="21" fillId="0" borderId="0" xfId="0" applyFont="1" applyProtection="1"/>
    <xf numFmtId="43" fontId="19" fillId="0" borderId="0" xfId="50" applyFont="1" applyFill="1" applyAlignment="1" applyProtection="1"/>
    <xf numFmtId="43" fontId="19" fillId="0" borderId="0" xfId="50" applyFont="1" applyFill="1" applyAlignment="1" applyProtection="1">
      <alignment horizontal="center"/>
    </xf>
    <xf numFmtId="43" fontId="19" fillId="0" borderId="0" xfId="50" applyFont="1" applyFill="1" applyAlignment="1" applyProtection="1">
      <alignment horizontal="right"/>
    </xf>
    <xf numFmtId="43" fontId="19" fillId="0" borderId="0" xfId="50" applyFont="1" applyFill="1" applyBorder="1" applyAlignment="1" applyProtection="1">
      <alignment horizontal="center"/>
    </xf>
    <xf numFmtId="43" fontId="131" fillId="0" borderId="0" xfId="49" applyProtection="1"/>
    <xf numFmtId="43" fontId="15" fillId="0" borderId="0" xfId="49" applyFont="1" applyProtection="1"/>
    <xf numFmtId="0" fontId="18" fillId="0" borderId="0" xfId="49" applyNumberFormat="1" applyFont="1" applyBorder="1" applyProtection="1"/>
    <xf numFmtId="43" fontId="131" fillId="0" borderId="0" xfId="51" applyProtection="1"/>
    <xf numFmtId="43" fontId="131" fillId="0" borderId="0" xfId="51" applyFill="1" applyBorder="1" applyAlignment="1" applyProtection="1">
      <alignment horizontal="left"/>
    </xf>
    <xf numFmtId="0" fontId="0" fillId="0" borderId="0" xfId="0" applyFill="1" applyBorder="1" applyProtection="1"/>
    <xf numFmtId="43" fontId="131" fillId="0" borderId="0" xfId="51" applyFill="1" applyBorder="1" applyProtection="1"/>
    <xf numFmtId="0" fontId="15" fillId="0" borderId="0" xfId="0" applyFont="1" applyProtection="1"/>
    <xf numFmtId="43"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6" fontId="28" fillId="0" borderId="0" xfId="28" applyNumberFormat="1" applyFont="1" applyAlignment="1">
      <alignment horizontal="left"/>
    </xf>
    <xf numFmtId="43"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43" fontId="28" fillId="0" borderId="0" xfId="0" applyNumberFormat="1" applyFont="1" applyFill="1" applyBorder="1" applyAlignment="1"/>
    <xf numFmtId="43" fontId="131"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49" applyFont="1" applyProtection="1"/>
    <xf numFmtId="43"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43"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1" fillId="0" borderId="14" xfId="61" applyFont="1" applyBorder="1" applyAlignment="1" applyProtection="1"/>
    <xf numFmtId="43" fontId="131" fillId="0" borderId="14" xfId="61" applyFill="1" applyBorder="1" applyAlignment="1" applyProtection="1">
      <alignment vertical="center"/>
    </xf>
    <xf numFmtId="43" fontId="3" fillId="0" borderId="14" xfId="61" applyFont="1" applyFill="1" applyBorder="1" applyAlignment="1" applyProtection="1">
      <alignment vertical="center"/>
    </xf>
    <xf numFmtId="43" fontId="31" fillId="0" borderId="0" xfId="61" applyFont="1" applyBorder="1" applyAlignment="1" applyProtection="1"/>
    <xf numFmtId="43" fontId="131" fillId="0" borderId="0" xfId="61" applyFill="1" applyBorder="1" applyAlignment="1" applyProtection="1">
      <alignment vertical="center"/>
    </xf>
    <xf numFmtId="43"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43" fontId="38" fillId="0" borderId="20" xfId="61" applyFont="1" applyBorder="1" applyAlignment="1" applyProtection="1"/>
    <xf numFmtId="43" fontId="39" fillId="0" borderId="20" xfId="61" applyFont="1" applyFill="1" applyBorder="1" applyAlignment="1" applyProtection="1">
      <alignment vertical="center"/>
    </xf>
    <xf numFmtId="43" fontId="39" fillId="0" borderId="20" xfId="61" applyFont="1" applyFill="1" applyBorder="1" applyAlignment="1" applyProtection="1">
      <alignment horizontal="center" vertical="center"/>
    </xf>
    <xf numFmtId="43" fontId="39" fillId="0" borderId="0" xfId="61" applyFont="1" applyFill="1" applyBorder="1" applyAlignment="1" applyProtection="1">
      <alignment vertical="center"/>
    </xf>
    <xf numFmtId="43" fontId="38" fillId="0" borderId="0" xfId="61" applyFont="1" applyBorder="1" applyAlignment="1" applyProtection="1"/>
    <xf numFmtId="43"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28" applyFont="1" applyFill="1" applyBorder="1" applyProtection="1"/>
    <xf numFmtId="43" fontId="0" fillId="0" borderId="0" xfId="0" applyNumberFormat="1" applyFill="1" applyBorder="1" applyProtection="1"/>
    <xf numFmtId="43" fontId="68" fillId="0" borderId="26" xfId="61" applyFont="1" applyFill="1" applyBorder="1" applyAlignment="1" applyProtection="1"/>
    <xf numFmtId="43"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43" fontId="17" fillId="0" borderId="0" xfId="47" applyFont="1" applyFill="1" applyAlignment="1" applyProtection="1">
      <alignment horizontal="center" vertical="center"/>
    </xf>
    <xf numFmtId="43" fontId="16" fillId="0" borderId="0" xfId="47"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3" xfId="0" applyNumberFormat="1" applyFont="1" applyFill="1" applyBorder="1" applyAlignment="1" applyProtection="1">
      <alignment vertical="center"/>
    </xf>
    <xf numFmtId="43"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43" fontId="92" fillId="0" borderId="26" xfId="61" applyFont="1" applyFill="1" applyBorder="1" applyAlignment="1" applyProtection="1"/>
    <xf numFmtId="43"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43" fontId="97" fillId="0" borderId="26" xfId="61" applyFont="1" applyFill="1" applyBorder="1" applyAlignment="1" applyProtection="1">
      <alignment vertical="center"/>
    </xf>
    <xf numFmtId="0" fontId="96" fillId="0" borderId="0" xfId="0" applyFont="1" applyFill="1"/>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43"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43"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43" fontId="115" fillId="0" borderId="20" xfId="61" applyFont="1" applyFill="1" applyBorder="1" applyAlignment="1" applyProtection="1">
      <alignment vertical="center"/>
    </xf>
    <xf numFmtId="0" fontId="24" fillId="0" borderId="0" xfId="0" applyFont="1" applyProtection="1"/>
    <xf numFmtId="43"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43"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26" xfId="0" applyFill="1" applyBorder="1" applyProtection="1"/>
    <xf numFmtId="43"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43"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2"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43"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43"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1"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5" fontId="32" fillId="19" borderId="69" xfId="0" applyNumberFormat="1" applyFont="1" applyFill="1" applyBorder="1" applyAlignment="1" applyProtection="1">
      <alignment horizontal="center"/>
      <protection locked="0"/>
    </xf>
    <xf numFmtId="165" fontId="32" fillId="19" borderId="70" xfId="0" applyNumberFormat="1" applyFon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1" xfId="58" applyFont="1" applyBorder="1" applyAlignment="1" applyProtection="1">
      <alignment horizontal="right"/>
    </xf>
    <xf numFmtId="43"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5" fontId="14" fillId="19" borderId="78" xfId="0" applyNumberFormat="1" applyFont="1" applyFill="1" applyBorder="1" applyAlignment="1" applyProtection="1">
      <alignment horizontal="center"/>
      <protection locked="0"/>
    </xf>
    <xf numFmtId="165"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49" fontId="26" fillId="0" borderId="83" xfId="0" applyNumberFormat="1" applyFont="1" applyFill="1" applyBorder="1" applyAlignment="1" applyProtection="1">
      <protection locked="0"/>
    </xf>
    <xf numFmtId="0" fontId="26" fillId="0" borderId="83" xfId="0"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43"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43" fontId="39" fillId="24" borderId="87" xfId="61" applyFont="1" applyFill="1" applyBorder="1" applyAlignment="1" applyProtection="1">
      <alignment horizontal="center" vertical="center"/>
    </xf>
    <xf numFmtId="43"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43"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43" fontId="131" fillId="0" borderId="0" xfId="28" applyFont="1" applyBorder="1" applyProtection="1"/>
    <xf numFmtId="0" fontId="0" fillId="0" borderId="103" xfId="0" applyNumberFormat="1" applyFill="1" applyBorder="1" applyProtection="1"/>
    <xf numFmtId="0" fontId="0" fillId="0" borderId="103" xfId="0" applyBorder="1" applyProtection="1"/>
    <xf numFmtId="166" fontId="131" fillId="0" borderId="102" xfId="28" applyNumberFormat="1" applyFont="1" applyFill="1" applyBorder="1" applyProtection="1"/>
    <xf numFmtId="166" fontId="131" fillId="0" borderId="60" xfId="28" applyNumberFormat="1" applyFont="1" applyFill="1" applyBorder="1" applyProtection="1"/>
    <xf numFmtId="166" fontId="131" fillId="0" borderId="10" xfId="28" applyNumberFormat="1" applyFont="1" applyFill="1" applyBorder="1" applyProtection="1"/>
    <xf numFmtId="166" fontId="131" fillId="0" borderId="57" xfId="28" applyNumberFormat="1" applyFont="1" applyFill="1" applyBorder="1" applyProtection="1"/>
    <xf numFmtId="166" fontId="67" fillId="23" borderId="10" xfId="28" applyNumberFormat="1" applyFont="1" applyFill="1" applyBorder="1" applyAlignment="1" applyProtection="1">
      <alignment horizontal="right" vertical="center"/>
      <protection locked="0"/>
    </xf>
    <xf numFmtId="166" fontId="67" fillId="23" borderId="10" xfId="28" applyNumberFormat="1" applyFont="1" applyFill="1" applyBorder="1" applyAlignment="1" applyProtection="1">
      <alignment horizontal="right" vertical="center"/>
    </xf>
    <xf numFmtId="166" fontId="67" fillId="22" borderId="10" xfId="28" applyNumberFormat="1" applyFont="1" applyFill="1" applyBorder="1" applyAlignment="1" applyProtection="1">
      <alignment vertical="center"/>
    </xf>
    <xf numFmtId="166" fontId="67" fillId="22" borderId="10" xfId="28" applyNumberFormat="1" applyFont="1" applyFill="1" applyBorder="1" applyAlignment="1" applyProtection="1">
      <alignment vertical="center"/>
      <protection locked="0"/>
    </xf>
    <xf numFmtId="166" fontId="67" fillId="23" borderId="10" xfId="28" applyNumberFormat="1" applyFont="1" applyFill="1" applyBorder="1" applyAlignment="1" applyProtection="1">
      <alignment vertical="center"/>
    </xf>
    <xf numFmtId="166" fontId="67" fillId="23" borderId="10" xfId="28" applyNumberFormat="1" applyFont="1" applyFill="1" applyBorder="1" applyAlignment="1" applyProtection="1">
      <alignment vertical="center"/>
      <protection locked="0"/>
    </xf>
    <xf numFmtId="166" fontId="67" fillId="29" borderId="10" xfId="28" applyNumberFormat="1" applyFont="1" applyFill="1" applyBorder="1" applyAlignment="1" applyProtection="1">
      <alignment vertical="center"/>
    </xf>
    <xf numFmtId="166" fontId="67" fillId="29" borderId="10" xfId="28" applyNumberFormat="1" applyFont="1" applyFill="1" applyBorder="1" applyAlignment="1" applyProtection="1">
      <alignment vertical="center"/>
      <protection locked="0"/>
    </xf>
    <xf numFmtId="166" fontId="77" fillId="29" borderId="10" xfId="28" applyNumberFormat="1" applyFont="1" applyFill="1" applyBorder="1" applyAlignment="1" applyProtection="1">
      <alignment vertical="center"/>
      <protection locked="0"/>
    </xf>
    <xf numFmtId="166" fontId="77" fillId="23" borderId="91" xfId="28" applyNumberFormat="1" applyFont="1" applyFill="1" applyBorder="1" applyAlignment="1" applyProtection="1">
      <alignment horizontal="right" vertical="center"/>
    </xf>
    <xf numFmtId="166" fontId="77" fillId="23" borderId="91" xfId="28" applyNumberFormat="1" applyFont="1" applyFill="1" applyBorder="1" applyAlignment="1" applyProtection="1">
      <alignment horizontal="right" vertical="center"/>
      <protection locked="0"/>
    </xf>
    <xf numFmtId="166" fontId="2" fillId="22" borderId="10" xfId="28" applyNumberFormat="1" applyFont="1" applyFill="1" applyBorder="1" applyAlignment="1" applyProtection="1">
      <alignment vertical="center"/>
    </xf>
    <xf numFmtId="166" fontId="2" fillId="23" borderId="10" xfId="28" applyNumberFormat="1" applyFont="1" applyFill="1" applyBorder="1" applyAlignment="1" applyProtection="1">
      <alignment vertical="center"/>
    </xf>
    <xf numFmtId="166" fontId="28" fillId="0" borderId="10" xfId="28" applyNumberFormat="1" applyFont="1" applyBorder="1" applyAlignment="1" applyProtection="1">
      <alignment vertical="center" wrapText="1"/>
    </xf>
    <xf numFmtId="166" fontId="2" fillId="23" borderId="10" xfId="28" applyNumberFormat="1" applyFont="1" applyFill="1" applyBorder="1" applyAlignment="1" applyProtection="1">
      <alignment horizontal="right" vertical="center"/>
    </xf>
    <xf numFmtId="166"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5" fontId="14" fillId="38" borderId="106" xfId="0" applyNumberFormat="1" applyFont="1" applyFill="1" applyBorder="1" applyAlignment="1" applyProtection="1">
      <alignment horizontal="center"/>
      <protection locked="0"/>
    </xf>
    <xf numFmtId="165"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9" fontId="134" fillId="29" borderId="10" xfId="56" applyFont="1" applyFill="1" applyBorder="1" applyAlignment="1" applyProtection="1">
      <alignment vertical="center"/>
    </xf>
    <xf numFmtId="174"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36" fillId="0" borderId="0" xfId="0" applyFont="1" applyBorder="1" applyProtection="1"/>
    <xf numFmtId="3" fontId="77" fillId="23"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protection locked="0"/>
    </xf>
    <xf numFmtId="3" fontId="77" fillId="23" borderId="10" xfId="0" applyNumberFormat="1" applyFont="1" applyFill="1" applyBorder="1" applyAlignment="1" applyProtection="1">
      <alignment horizontal="right" vertical="center"/>
      <protection locked="0"/>
    </xf>
    <xf numFmtId="0" fontId="133" fillId="0" borderId="0" xfId="0" applyFont="1" applyAlignment="1">
      <alignment horizontal="left" vertical="top"/>
    </xf>
    <xf numFmtId="0" fontId="0" fillId="0" borderId="0" xfId="0" applyFill="1" applyProtection="1"/>
    <xf numFmtId="43" fontId="131" fillId="0" borderId="10" xfId="28" applyNumberFormat="1" applyFont="1" applyFill="1" applyBorder="1" applyAlignment="1" applyProtection="1">
      <alignment horizontal="center"/>
    </xf>
    <xf numFmtId="43" fontId="131" fillId="0" borderId="102" xfId="28" applyNumberFormat="1" applyFont="1" applyFill="1" applyBorder="1" applyAlignment="1" applyProtection="1">
      <alignment horizontal="center"/>
    </xf>
    <xf numFmtId="0" fontId="138" fillId="0" borderId="0" xfId="0" applyFont="1" applyBorder="1" applyProtection="1"/>
    <xf numFmtId="0" fontId="138" fillId="0" borderId="0" xfId="0" applyFont="1" applyFill="1" applyBorder="1" applyProtection="1"/>
    <xf numFmtId="0" fontId="138" fillId="0" borderId="0" xfId="0" applyFont="1" applyBorder="1"/>
    <xf numFmtId="0" fontId="139" fillId="0" borderId="0" xfId="0" applyFont="1" applyFill="1" applyBorder="1" applyAlignment="1" applyProtection="1">
      <alignment horizontal="center" vertical="center" wrapText="1"/>
    </xf>
    <xf numFmtId="0" fontId="140" fillId="0" borderId="0" xfId="0" applyFont="1" applyFill="1" applyBorder="1" applyAlignment="1" applyProtection="1">
      <alignment horizontal="center" vertical="center"/>
    </xf>
    <xf numFmtId="0" fontId="138" fillId="0" borderId="0" xfId="0" applyFont="1" applyFill="1" applyBorder="1" applyAlignment="1" applyProtection="1">
      <alignment horizontal="center" vertical="center"/>
    </xf>
    <xf numFmtId="0" fontId="138" fillId="0" borderId="0" xfId="0" applyFont="1" applyBorder="1" applyAlignment="1" applyProtection="1">
      <alignment horizontal="center" vertical="center"/>
    </xf>
    <xf numFmtId="0" fontId="138" fillId="0" borderId="0" xfId="0" applyFont="1" applyBorder="1" applyAlignment="1">
      <alignment horizontal="center" vertical="center"/>
    </xf>
    <xf numFmtId="15" fontId="138" fillId="0" borderId="0" xfId="0" applyNumberFormat="1" applyFont="1" applyFill="1" applyBorder="1" applyAlignment="1" applyProtection="1">
      <alignment horizontal="center" vertical="center"/>
      <protection locked="0"/>
    </xf>
    <xf numFmtId="0" fontId="138" fillId="0" borderId="0" xfId="0" applyFont="1" applyFill="1" applyBorder="1" applyAlignment="1" applyProtection="1">
      <alignment horizontal="center" vertical="center"/>
      <protection locked="0"/>
    </xf>
    <xf numFmtId="166" fontId="28" fillId="25" borderId="69" xfId="28" applyNumberFormat="1" applyFont="1" applyFill="1" applyBorder="1" applyAlignment="1" applyProtection="1">
      <protection locked="0"/>
    </xf>
    <xf numFmtId="3" fontId="141" fillId="22" borderId="10" xfId="0" applyNumberFormat="1" applyFont="1" applyFill="1" applyBorder="1" applyAlignment="1" applyProtection="1">
      <alignment vertical="center"/>
    </xf>
    <xf numFmtId="3" fontId="141" fillId="23" borderId="10" xfId="0" applyNumberFormat="1" applyFont="1" applyFill="1" applyBorder="1" applyAlignment="1" applyProtection="1">
      <alignment vertical="center"/>
    </xf>
    <xf numFmtId="3" fontId="141" fillId="29" borderId="10" xfId="0" applyNumberFormat="1" applyFont="1" applyFill="1" applyBorder="1" applyAlignment="1" applyProtection="1">
      <alignment vertical="center"/>
    </xf>
    <xf numFmtId="3" fontId="141" fillId="23" borderId="10" xfId="0" applyNumberFormat="1" applyFont="1" applyFill="1" applyBorder="1" applyAlignment="1" applyProtection="1">
      <alignment horizontal="right" vertical="center"/>
    </xf>
    <xf numFmtId="9" fontId="0" fillId="0" borderId="0" xfId="56" applyFont="1"/>
    <xf numFmtId="43" fontId="137" fillId="38" borderId="10" xfId="28" applyFont="1" applyFill="1" applyBorder="1" applyProtection="1">
      <protection locked="0"/>
    </xf>
    <xf numFmtId="166" fontId="137" fillId="38" borderId="10" xfId="28" applyNumberFormat="1" applyFont="1" applyFill="1" applyBorder="1" applyProtection="1">
      <protection locked="0"/>
    </xf>
    <xf numFmtId="166" fontId="137" fillId="38" borderId="10" xfId="28" applyNumberFormat="1" applyFont="1" applyFill="1" applyBorder="1" applyProtection="1"/>
    <xf numFmtId="43" fontId="137" fillId="38" borderId="102" xfId="28" applyNumberFormat="1" applyFont="1" applyFill="1" applyBorder="1" applyProtection="1">
      <protection locked="0"/>
    </xf>
    <xf numFmtId="166" fontId="137" fillId="38" borderId="102" xfId="28" applyNumberFormat="1" applyFont="1" applyFill="1" applyBorder="1" applyProtection="1">
      <protection locked="0"/>
    </xf>
    <xf numFmtId="1" fontId="21" fillId="36" borderId="153" xfId="0" applyNumberFormat="1" applyFont="1" applyFill="1" applyBorder="1" applyAlignment="1" applyProtection="1">
      <alignment horizontal="center" vertical="center"/>
    </xf>
    <xf numFmtId="43" fontId="0" fillId="0" borderId="0" xfId="28" applyFont="1"/>
    <xf numFmtId="0" fontId="0" fillId="0" borderId="0" xfId="0" applyAlignment="1" applyProtection="1">
      <alignment wrapText="1"/>
    </xf>
    <xf numFmtId="0" fontId="21" fillId="20" borderId="27" xfId="0" applyFont="1" applyFill="1" applyBorder="1" applyAlignment="1" applyProtection="1">
      <alignment horizontal="left" vertical="center"/>
    </xf>
    <xf numFmtId="166" fontId="21" fillId="25" borderId="10" xfId="28" applyNumberFormat="1" applyFont="1" applyFill="1" applyBorder="1" applyProtection="1">
      <protection locked="0"/>
    </xf>
    <xf numFmtId="166" fontId="21" fillId="25" borderId="10" xfId="28" applyNumberFormat="1" applyFont="1" applyFill="1" applyBorder="1" applyAlignment="1" applyProtection="1">
      <protection locked="0"/>
    </xf>
    <xf numFmtId="3" fontId="109" fillId="0" borderId="0" xfId="0" applyNumberFormat="1" applyFont="1" applyFill="1" applyBorder="1" applyAlignment="1" applyProtection="1">
      <alignment horizontal="left"/>
      <protection locked="0"/>
    </xf>
    <xf numFmtId="0" fontId="0" fillId="0" borderId="0" xfId="0"/>
    <xf numFmtId="166" fontId="0" fillId="0" borderId="0" xfId="0" applyNumberFormat="1"/>
    <xf numFmtId="166" fontId="133" fillId="38" borderId="10" xfId="28" applyNumberFormat="1" applyFont="1" applyFill="1" applyBorder="1" applyProtection="1"/>
    <xf numFmtId="166" fontId="133" fillId="38" borderId="10" xfId="28" applyNumberFormat="1" applyFont="1" applyFill="1" applyBorder="1" applyProtection="1">
      <protection locked="0"/>
    </xf>
    <xf numFmtId="1" fontId="0" fillId="20" borderId="10" xfId="0" applyNumberFormat="1" applyFont="1" applyFill="1" applyBorder="1" applyAlignment="1" applyProtection="1">
      <alignment horizontal="center" vertical="center"/>
    </xf>
    <xf numFmtId="166" fontId="28" fillId="0" borderId="10" xfId="28" applyNumberFormat="1" applyFont="1" applyFill="1" applyBorder="1" applyAlignment="1" applyProtection="1">
      <alignment vertical="center" wrapText="1"/>
    </xf>
    <xf numFmtId="43" fontId="17" fillId="31" borderId="0" xfId="39"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0" fillId="0" borderId="111" xfId="0" applyBorder="1" applyAlignment="1">
      <alignment horizontal="center"/>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0" fillId="0" borderId="111" xfId="0" applyBorder="1" applyAlignment="1">
      <alignment horizontal="center" wrapText="1"/>
    </xf>
    <xf numFmtId="0" fontId="0" fillId="0" borderId="0"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0" fillId="0" borderId="0" xfId="0" applyBorder="1" applyAlignment="1">
      <alignment horizontal="center"/>
    </xf>
    <xf numFmtId="0" fontId="86" fillId="0" borderId="0" xfId="0" applyFont="1" applyAlignment="1">
      <alignment horizontal="center"/>
    </xf>
    <xf numFmtId="43"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43"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43"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63" fillId="0" borderId="27" xfId="0" applyFont="1" applyBorder="1" applyAlignment="1">
      <alignment horizontal="justify" vertical="center" wrapText="1"/>
    </xf>
    <xf numFmtId="43"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0" fontId="67" fillId="0" borderId="45"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45"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67" fillId="22" borderId="45" xfId="0" applyNumberFormat="1" applyFont="1" applyFill="1" applyBorder="1" applyAlignment="1" applyProtection="1">
      <alignment horizontal="center" vertical="center" wrapText="1"/>
      <protection locked="0"/>
    </xf>
    <xf numFmtId="49" fontId="2"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3" fontId="61" fillId="32" borderId="0" xfId="39" applyFont="1" applyFill="1" applyAlignment="1" applyProtection="1">
      <alignment horizontal="center" vertic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0" fontId="114" fillId="0" borderId="0" xfId="0" applyFont="1" applyAlignment="1" applyProtection="1">
      <alignment horizontal="right"/>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0" fontId="67" fillId="27" borderId="45" xfId="0" applyFont="1" applyFill="1" applyBorder="1" applyAlignment="1" applyProtection="1">
      <alignment horizontal="center" vertical="center" wrapText="1"/>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0" fontId="114" fillId="0" borderId="142"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40" borderId="10" xfId="0" applyNumberFormat="1" applyFont="1" applyFill="1" applyBorder="1" applyAlignment="1" applyProtection="1">
      <alignment horizontal="center"/>
      <protection locked="0"/>
    </xf>
    <xf numFmtId="49" fontId="0" fillId="0" borderId="44" xfId="0" applyNumberFormat="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43" fontId="15" fillId="39" borderId="10" xfId="58" applyFont="1" applyFill="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49" fontId="0" fillId="0" borderId="10" xfId="0" applyNumberFormat="1" applyBorder="1" applyAlignment="1" applyProtection="1">
      <alignment horizontal="center"/>
      <protection locked="0"/>
    </xf>
    <xf numFmtId="0" fontId="0" fillId="19" borderId="144" xfId="0" applyFill="1" applyBorder="1" applyAlignment="1" applyProtection="1">
      <alignment horizontal="center" vertical="center" textRotation="90"/>
    </xf>
    <xf numFmtId="43"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43" fontId="24" fillId="24" borderId="41" xfId="58" applyFont="1" applyFill="1" applyBorder="1" applyAlignment="1" applyProtection="1">
      <alignment horizontal="center"/>
    </xf>
    <xf numFmtId="43" fontId="1" fillId="0" borderId="41" xfId="58" applyFont="1" applyFill="1" applyBorder="1" applyAlignment="1" applyProtection="1">
      <alignment horizontal="right"/>
    </xf>
    <xf numFmtId="43"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43" fontId="106" fillId="32" borderId="0" xfId="39" applyFont="1" applyFill="1" applyAlignment="1" applyProtection="1">
      <alignment horizontal="center" vertical="center"/>
    </xf>
    <xf numFmtId="43" fontId="33" fillId="24" borderId="0" xfId="50" applyFont="1" applyFill="1" applyAlignment="1" applyProtection="1">
      <alignment horizontal="center" vertical="center" wrapText="1"/>
    </xf>
    <xf numFmtId="173" fontId="24" fillId="24" borderId="41" xfId="58" applyNumberFormat="1" applyFont="1" applyFill="1" applyBorder="1" applyAlignment="1" applyProtection="1">
      <alignment horizontal="center" vertical="center"/>
    </xf>
    <xf numFmtId="43" fontId="1" fillId="0" borderId="41" xfId="58" applyFont="1" applyBorder="1" applyAlignment="1" applyProtection="1">
      <alignment horizontal="right"/>
    </xf>
    <xf numFmtId="43" fontId="20" fillId="0" borderId="0" xfId="50" applyFont="1" applyFill="1" applyAlignment="1" applyProtection="1">
      <alignment horizontal="right" vertical="center"/>
    </xf>
    <xf numFmtId="43" fontId="24" fillId="24" borderId="0" xfId="50" applyFont="1" applyFill="1" applyAlignment="1" applyProtection="1">
      <alignment horizontal="center" vertical="center" wrapText="1"/>
    </xf>
    <xf numFmtId="0" fontId="111" fillId="0" borderId="0" xfId="0" applyFont="1" applyAlignment="1" applyProtection="1">
      <alignment horizontal="center"/>
    </xf>
    <xf numFmtId="43" fontId="110" fillId="0" borderId="122" xfId="0" applyNumberFormat="1" applyFont="1" applyBorder="1" applyAlignment="1" applyProtection="1">
      <alignment horizontal="center" vertical="center" wrapText="1"/>
    </xf>
    <xf numFmtId="43" fontId="110" fillId="0" borderId="123" xfId="0" applyNumberFormat="1" applyFont="1" applyBorder="1" applyAlignment="1" applyProtection="1">
      <alignment horizontal="center" vertical="center" wrapText="1"/>
    </xf>
    <xf numFmtId="43"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30"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31" borderId="0" xfId="58" applyFont="1" applyFill="1" applyBorder="1" applyAlignment="1" applyProtection="1">
      <alignment horizontal="center"/>
    </xf>
    <xf numFmtId="0" fontId="34"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32" borderId="0" xfId="48" applyFont="1" applyFill="1" applyAlignment="1">
      <alignment horizontal="center" vertical="center"/>
    </xf>
    <xf numFmtId="0" fontId="111" fillId="0" borderId="0" xfId="0" applyFont="1" applyAlignment="1">
      <alignment horizontal="center"/>
    </xf>
    <xf numFmtId="43"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43" fontId="61" fillId="32" borderId="0" xfId="48" applyFont="1" applyFill="1" applyAlignment="1" applyProtection="1">
      <alignment horizontal="center" vertical="center"/>
    </xf>
    <xf numFmtId="0" fontId="34" fillId="0" borderId="111" xfId="0" applyFont="1" applyBorder="1" applyAlignment="1" applyProtection="1">
      <alignment horizontal="left" vertical="center"/>
    </xf>
    <xf numFmtId="43" fontId="111"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31" borderId="0" xfId="59" applyFont="1" applyFill="1" applyBorder="1" applyAlignment="1" applyProtection="1">
      <alignment horizontal="center"/>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0" fontId="28" fillId="0" borderId="10" xfId="0" applyFont="1" applyBorder="1" applyAlignment="1" applyProtection="1">
      <alignment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9" fontId="28" fillId="0" borderId="10" xfId="56" applyNumberFormat="1" applyFont="1" applyBorder="1" applyAlignment="1" applyProtection="1">
      <alignment horizontal="center" vertical="center" wrapText="1"/>
    </xf>
    <xf numFmtId="174"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174" fontId="132" fillId="0" borderId="44" xfId="0" applyNumberFormat="1" applyFont="1" applyBorder="1" applyAlignment="1">
      <alignment horizontal="center" vertical="center" wrapText="1"/>
    </xf>
    <xf numFmtId="174"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0" fontId="78" fillId="0" borderId="177" xfId="0" applyFont="1" applyFill="1" applyBorder="1" applyAlignment="1" applyProtection="1">
      <alignment horizont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111" fillId="0" borderId="0" xfId="0" applyFont="1" applyBorder="1" applyAlignment="1" applyProtection="1">
      <alignment horizontal="center"/>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17" xfId="0" applyFont="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0" fontId="77" fillId="21" borderId="224"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0" fontId="21" fillId="0" borderId="216" xfId="0" applyFont="1" applyFill="1" applyBorder="1" applyAlignment="1" applyProtection="1">
      <alignment horizontal="left"/>
      <protection locked="0"/>
    </xf>
    <xf numFmtId="0" fontId="33" fillId="0" borderId="0" xfId="0" applyFont="1" applyAlignment="1">
      <alignment horizontal="center"/>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21" fillId="0" borderId="229"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77" fillId="21" borderId="211" xfId="53" applyNumberFormat="1" applyFont="1" applyFill="1" applyBorder="1" applyAlignment="1">
      <alignment horizontal="center" vertical="center" wrapText="1"/>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17" fontId="21" fillId="0" borderId="37" xfId="0" applyNumberFormat="1"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37"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0" fontId="21" fillId="0" borderId="218" xfId="0" applyFont="1" applyBorder="1" applyAlignment="1" applyProtection="1">
      <alignment horizontal="left"/>
      <protection locked="0"/>
    </xf>
    <xf numFmtId="43" fontId="15" fillId="31" borderId="0" xfId="60" applyFont="1" applyFill="1" applyBorder="1" applyAlignment="1" applyProtection="1">
      <alignment horizontal="center"/>
      <protection locked="0"/>
    </xf>
    <xf numFmtId="0" fontId="21" fillId="0" borderId="237" xfId="0" applyFont="1" applyFill="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237" xfId="0" applyFont="1" applyBorder="1" applyAlignment="1" applyProtection="1">
      <alignment horizontal="left"/>
      <protection locked="0"/>
    </xf>
    <xf numFmtId="43" fontId="17" fillId="32" borderId="0" xfId="39" applyFont="1" applyFill="1" applyAlignment="1">
      <alignment horizontal="center" vertical="center"/>
    </xf>
  </cellXfs>
  <cellStyles count="6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Comma 2" xfId="6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10" xfId="64"/>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Percent 2" xfId="65"/>
    <cellStyle name="Title" xfId="57"/>
    <cellStyle name="Título 3 3" xfId="58"/>
    <cellStyle name="Título 3 3_Prototipo" xfId="59"/>
    <cellStyle name="Título 3 3_PrototipoRep1" xfId="60"/>
    <cellStyle name="Título 3 7" xfId="61"/>
    <cellStyle name="Warning Text" xfId="62"/>
  </cellStyles>
  <dxfs count="39">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1753207.6497905985</c:v>
                </c:pt>
                <c:pt idx="1">
                  <c:v>3401736.7922998201</c:v>
                </c:pt>
                <c:pt idx="2">
                  <c:v>4604838.6829004418</c:v>
                </c:pt>
                <c:pt idx="3">
                  <c:v>7007341.4973097006</c:v>
                </c:pt>
                <c:pt idx="4">
                  <c:v>8072675.5988628268</c:v>
                </c:pt>
                <c:pt idx="5">
                  <c:v>9522270.8435802143</c:v>
                </c:pt>
                <c:pt idx="6">
                  <c:v>10539756.207710398</c:v>
                </c:pt>
                <c:pt idx="7">
                  <c:v>11921728.917347262</c:v>
                </c:pt>
                <c:pt idx="8">
                  <c:v>13374016.913231138</c:v>
                </c:pt>
                <c:pt idx="9">
                  <c:v>14792038.621349147</c:v>
                </c:pt>
                <c:pt idx="10">
                  <c:v>16470192.967390371</c:v>
                </c:pt>
                <c:pt idx="11">
                  <c:v>17962183.992709756</c:v>
                </c:pt>
              </c:numCache>
            </c:numRef>
          </c:val>
          <c:extLs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1912231.72</c:v>
                </c:pt>
                <c:pt idx="1">
                  <c:v>3975781.24</c:v>
                </c:pt>
                <c:pt idx="2">
                  <c:v>5216333.3900000006</c:v>
                </c:pt>
                <c:pt idx="3">
                  <c:v>7841073.8600000003</c:v>
                </c:pt>
                <c:pt idx="4">
                  <c:v>8002032.8399999999</c:v>
                </c:pt>
                <c:pt idx="5">
                  <c:v>9364814.2599999998</c:v>
                </c:pt>
                <c:pt idx="6">
                  <c:v>10180884.560000001</c:v>
                </c:pt>
                <c:pt idx="7">
                  <c:v>12046582.700000001</c:v>
                </c:pt>
                <c:pt idx="8">
                  <c:v>13482830.65</c:v>
                </c:pt>
                <c:pt idx="9">
                  <c:v>15179855.050000001</c:v>
                </c:pt>
                <c:pt idx="10">
                  <c:v>16193581.270000001</c:v>
                </c:pt>
                <c:pt idx="11">
                  <c:v>17309477.800000001</c:v>
                </c:pt>
              </c:numCache>
            </c:numRef>
          </c:val>
          <c:extLs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671923904"/>
        <c:axId val="-671926624"/>
      </c:barChart>
      <c:catAx>
        <c:axId val="-67192390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671926624"/>
        <c:crosses val="autoZero"/>
        <c:auto val="1"/>
        <c:lblAlgn val="ctr"/>
        <c:lblOffset val="100"/>
        <c:tickLblSkip val="1"/>
        <c:tickMarkSkip val="1"/>
        <c:noMultiLvlLbl val="0"/>
      </c:catAx>
      <c:valAx>
        <c:axId val="-6719266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67192390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US"/>
          </a:p>
        </c:txPr>
      </c:legendEntry>
      <c:legendEntry>
        <c:idx val="1"/>
        <c:txPr>
          <a:bodyPr/>
          <a:lstStyle/>
          <a:p>
            <a:pPr>
              <a:defRPr sz="570" b="0" i="0" u="none" strike="noStrike" baseline="0">
                <a:solidFill>
                  <a:srgbClr val="000000"/>
                </a:solidFill>
                <a:latin typeface="Arial"/>
                <a:ea typeface="Arial"/>
                <a:cs typeface="Arial"/>
              </a:defRPr>
            </a:pPr>
            <a:endParaRPr lang="en-US"/>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Entry'!$G$125</c:f>
              <c:strCache>
                <c:ptCount val="1"/>
                <c:pt idx="0">
                  <c:v>Target</c:v>
                </c:pt>
              </c:strCache>
            </c:strRef>
          </c:tx>
          <c:spPr>
            <a:solidFill>
              <a:srgbClr val="0066CC"/>
            </a:solidFill>
            <a:ln w="25400">
              <a:noFill/>
            </a:ln>
          </c:spPr>
          <c:invertIfNegative val="0"/>
          <c:val>
            <c:numRef>
              <c:f>'Data Entry'!$H$125:$S$125</c:f>
              <c:numCache>
                <c:formatCode>_(* #,##0_);_(* \(#,##0\);_(* "-"??_);_(@_)</c:formatCode>
                <c:ptCount val="12"/>
                <c:pt idx="0">
                  <c:v>4000</c:v>
                </c:pt>
                <c:pt idx="1">
                  <c:v>4000</c:v>
                </c:pt>
                <c:pt idx="2" formatCode="#,##0">
                  <c:v>4550</c:v>
                </c:pt>
                <c:pt idx="3" formatCode="#,##0">
                  <c:v>4550</c:v>
                </c:pt>
                <c:pt idx="4" formatCode="#,##0">
                  <c:v>4550</c:v>
                </c:pt>
                <c:pt idx="5" formatCode="#,##0">
                  <c:v>4550</c:v>
                </c:pt>
                <c:pt idx="6" formatCode="#,##0">
                  <c:v>5100</c:v>
                </c:pt>
                <c:pt idx="7" formatCode="#,##0">
                  <c:v>5100</c:v>
                </c:pt>
                <c:pt idx="8" formatCode="#,##0">
                  <c:v>5100</c:v>
                </c:pt>
                <c:pt idx="9" formatCode="#,##0">
                  <c:v>5100</c:v>
                </c:pt>
                <c:pt idx="10" formatCode="#,##0">
                  <c:v>5500</c:v>
                </c:pt>
                <c:pt idx="11" formatCode="#,##0">
                  <c:v>5500</c:v>
                </c:pt>
              </c:numCache>
            </c:numRef>
          </c:val>
          <c:extLst>
            <c:ext xmlns:c16="http://schemas.microsoft.com/office/drawing/2014/chart" uri="{C3380CC4-5D6E-409C-BE32-E72D297353CC}">
              <c16:uniqueId val="{00000000-9988-4901-B1D9-331495B7A130}"/>
            </c:ext>
          </c:extLst>
        </c:ser>
        <c:ser>
          <c:idx val="1"/>
          <c:order val="1"/>
          <c:tx>
            <c:strRef>
              <c:f>'Data Entry'!$G$126</c:f>
              <c:strCache>
                <c:ptCount val="1"/>
                <c:pt idx="0">
                  <c:v>Achieved </c:v>
                </c:pt>
              </c:strCache>
            </c:strRef>
          </c:tx>
          <c:spPr>
            <a:solidFill>
              <a:srgbClr val="00CCFF"/>
            </a:solidFill>
            <a:ln w="12700">
              <a:solidFill>
                <a:srgbClr val="000000"/>
              </a:solidFill>
              <a:prstDash val="solid"/>
            </a:ln>
          </c:spPr>
          <c:invertIfNegative val="0"/>
          <c:val>
            <c:numRef>
              <c:f>'Data Entry'!$H$126:$S$126</c:f>
              <c:numCache>
                <c:formatCode>_(* #,##0_);_(* \(#,##0\);_(* "-"??_);_(@_)</c:formatCode>
                <c:ptCount val="12"/>
                <c:pt idx="0">
                  <c:v>3518</c:v>
                </c:pt>
                <c:pt idx="1">
                  <c:v>3638</c:v>
                </c:pt>
                <c:pt idx="2" formatCode="#,##0">
                  <c:v>3786</c:v>
                </c:pt>
                <c:pt idx="3" formatCode="#,##0">
                  <c:v>3899</c:v>
                </c:pt>
                <c:pt idx="4" formatCode="#,##0">
                  <c:v>4100</c:v>
                </c:pt>
                <c:pt idx="5" formatCode="#,##0">
                  <c:v>4144</c:v>
                </c:pt>
                <c:pt idx="6" formatCode="#,##0">
                  <c:v>4260</c:v>
                </c:pt>
                <c:pt idx="7" formatCode="#,##0">
                  <c:v>4365</c:v>
                </c:pt>
                <c:pt idx="8" formatCode="#,##0">
                  <c:v>4468</c:v>
                </c:pt>
                <c:pt idx="9" formatCode="#,##0">
                  <c:v>4597</c:v>
                </c:pt>
                <c:pt idx="10" formatCode="#,##0">
                  <c:v>4136</c:v>
                </c:pt>
                <c:pt idx="11" formatCode="#,##0">
                  <c:v>4798</c:v>
                </c:pt>
              </c:numCache>
            </c:numRef>
          </c:val>
          <c:extLs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954034448"/>
        <c:axId val="-954033904"/>
      </c:barChart>
      <c:catAx>
        <c:axId val="-954034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54033904"/>
        <c:crosses val="autoZero"/>
        <c:auto val="1"/>
        <c:lblAlgn val="ctr"/>
        <c:lblOffset val="100"/>
        <c:tickLblSkip val="1"/>
        <c:tickMarkSkip val="1"/>
        <c:noMultiLvlLbl val="0"/>
      </c:catAx>
      <c:valAx>
        <c:axId val="-95403390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54034448"/>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Entry'!$G$121</c:f>
              <c:strCache>
                <c:ptCount val="1"/>
                <c:pt idx="0">
                  <c:v>Target</c:v>
                </c:pt>
              </c:strCache>
            </c:strRef>
          </c:tx>
          <c:spPr>
            <a:solidFill>
              <a:srgbClr val="0066CC"/>
            </a:solidFill>
            <a:ln w="25400">
              <a:noFill/>
            </a:ln>
          </c:spPr>
          <c:invertIfNegative val="0"/>
          <c:cat>
            <c:strRef>
              <c:f>'Data Entry'!$H$119:$S$119</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_(* #,##0_);_(* \(#,##0\);_(* "-"??_);_(@_)</c:formatCode>
                <c:ptCount val="12"/>
                <c:pt idx="0">
                  <c:v>25347</c:v>
                </c:pt>
                <c:pt idx="1">
                  <c:v>25347</c:v>
                </c:pt>
                <c:pt idx="2" formatCode="#,##0">
                  <c:v>6958</c:v>
                </c:pt>
                <c:pt idx="3" formatCode="#,##0">
                  <c:v>13916</c:v>
                </c:pt>
                <c:pt idx="4" formatCode="#,##0">
                  <c:v>20874</c:v>
                </c:pt>
                <c:pt idx="5" formatCode="#,##0">
                  <c:v>27832</c:v>
                </c:pt>
                <c:pt idx="6" formatCode="#,##0">
                  <c:v>7875</c:v>
                </c:pt>
                <c:pt idx="7" formatCode="#,##0">
                  <c:v>15750</c:v>
                </c:pt>
                <c:pt idx="8" formatCode="#,##0">
                  <c:v>23625</c:v>
                </c:pt>
                <c:pt idx="9" formatCode="#,##0">
                  <c:v>31500</c:v>
                </c:pt>
                <c:pt idx="10" formatCode="#,##0">
                  <c:v>8531.25</c:v>
                </c:pt>
                <c:pt idx="11" formatCode="#,##0">
                  <c:v>17062.5</c:v>
                </c:pt>
              </c:numCache>
            </c:numRef>
          </c:val>
          <c:extLst>
            <c:ext xmlns:c16="http://schemas.microsoft.com/office/drawing/2014/chart" uri="{C3380CC4-5D6E-409C-BE32-E72D297353CC}">
              <c16:uniqueId val="{00000000-3D57-445C-8E51-0A45B747288A}"/>
            </c:ext>
          </c:extLst>
        </c:ser>
        <c:ser>
          <c:idx val="1"/>
          <c:order val="1"/>
          <c:tx>
            <c:strRef>
              <c:f>'Data Entry'!$G$122</c:f>
              <c:strCache>
                <c:ptCount val="1"/>
                <c:pt idx="0">
                  <c:v>Achieved </c:v>
                </c:pt>
              </c:strCache>
            </c:strRef>
          </c:tx>
          <c:spPr>
            <a:solidFill>
              <a:srgbClr val="00CCFF"/>
            </a:solidFill>
            <a:ln w="12700">
              <a:solidFill>
                <a:srgbClr val="000000"/>
              </a:solidFill>
              <a:prstDash val="solid"/>
            </a:ln>
          </c:spPr>
          <c:invertIfNegative val="0"/>
          <c:cat>
            <c:strRef>
              <c:f>'Data Entry'!$H$119:$S$119</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Entry'!$H$122:$S$122</c:f>
              <c:numCache>
                <c:formatCode>_(* #,##0_);_(* \(#,##0\);_(* "-"??_);_(@_)</c:formatCode>
                <c:ptCount val="12"/>
                <c:pt idx="0">
                  <c:v>22099</c:v>
                </c:pt>
                <c:pt idx="1">
                  <c:v>28279</c:v>
                </c:pt>
                <c:pt idx="2" formatCode="#,##0">
                  <c:v>7219</c:v>
                </c:pt>
                <c:pt idx="3" formatCode="#,##0">
                  <c:v>16129</c:v>
                </c:pt>
                <c:pt idx="4" formatCode="#,##0">
                  <c:v>18626</c:v>
                </c:pt>
                <c:pt idx="5" formatCode="#,##0">
                  <c:v>26294</c:v>
                </c:pt>
                <c:pt idx="6" formatCode="#,##0">
                  <c:v>5762</c:v>
                </c:pt>
                <c:pt idx="7" formatCode="#,##0">
                  <c:v>11859</c:v>
                </c:pt>
                <c:pt idx="8" formatCode="#,##0">
                  <c:v>23914</c:v>
                </c:pt>
                <c:pt idx="9" formatCode="#,##0">
                  <c:v>24421</c:v>
                </c:pt>
                <c:pt idx="10" formatCode="#,##0">
                  <c:v>8173</c:v>
                </c:pt>
                <c:pt idx="11" formatCode="#,##0">
                  <c:v>16211</c:v>
                </c:pt>
              </c:numCache>
            </c:numRef>
          </c:val>
          <c:extLs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954032816"/>
        <c:axId val="-812300064"/>
      </c:barChart>
      <c:catAx>
        <c:axId val="-95403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812300064"/>
        <c:crosses val="autoZero"/>
        <c:auto val="1"/>
        <c:lblAlgn val="ctr"/>
        <c:lblOffset val="100"/>
        <c:tickLblSkip val="1"/>
        <c:tickMarkSkip val="1"/>
        <c:noMultiLvlLbl val="0"/>
      </c:catAx>
      <c:valAx>
        <c:axId val="-81230006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54032816"/>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1753207.6497905985</c:v>
                </c:pt>
                <c:pt idx="1">
                  <c:v>3401736.7922998201</c:v>
                </c:pt>
                <c:pt idx="2">
                  <c:v>4604838.6829004418</c:v>
                </c:pt>
                <c:pt idx="3">
                  <c:v>7007341.4973097006</c:v>
                </c:pt>
                <c:pt idx="4">
                  <c:v>8072675.5988628268</c:v>
                </c:pt>
                <c:pt idx="5">
                  <c:v>9522270.8435802143</c:v>
                </c:pt>
                <c:pt idx="6">
                  <c:v>10539756.207710398</c:v>
                </c:pt>
                <c:pt idx="7">
                  <c:v>11921728.917347262</c:v>
                </c:pt>
                <c:pt idx="8">
                  <c:v>13374016.913231138</c:v>
                </c:pt>
                <c:pt idx="9">
                  <c:v>14792038.621349147</c:v>
                </c:pt>
                <c:pt idx="10">
                  <c:v>16470192.967390371</c:v>
                </c:pt>
              </c:numCache>
            </c:numRef>
          </c:val>
          <c:extLs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1912231.72</c:v>
                </c:pt>
                <c:pt idx="1">
                  <c:v>3975781.24</c:v>
                </c:pt>
                <c:pt idx="2">
                  <c:v>5216333.3900000006</c:v>
                </c:pt>
                <c:pt idx="3">
                  <c:v>7841073.8600000003</c:v>
                </c:pt>
                <c:pt idx="4">
                  <c:v>8002032.8399999999</c:v>
                </c:pt>
                <c:pt idx="5">
                  <c:v>9364814.2599999998</c:v>
                </c:pt>
                <c:pt idx="6">
                  <c:v>10180884.560000001</c:v>
                </c:pt>
                <c:pt idx="7">
                  <c:v>12046582.700000001</c:v>
                </c:pt>
                <c:pt idx="8">
                  <c:v>13482830.65</c:v>
                </c:pt>
                <c:pt idx="9">
                  <c:v>15179855.050000001</c:v>
                </c:pt>
                <c:pt idx="10">
                  <c:v>16193581.270000001</c:v>
                </c:pt>
              </c:numCache>
            </c:numRef>
          </c:val>
          <c:extLs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812302240"/>
        <c:axId val="-812310944"/>
      </c:areaChart>
      <c:catAx>
        <c:axId val="-812302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812310944"/>
        <c:crosses val="autoZero"/>
        <c:auto val="1"/>
        <c:lblAlgn val="ctr"/>
        <c:lblOffset val="100"/>
        <c:tickLblSkip val="8"/>
        <c:tickMarkSkip val="1"/>
        <c:noMultiLvlLbl val="0"/>
      </c:catAx>
      <c:valAx>
        <c:axId val="-81231094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812302240"/>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Entry'!$B$55:$B$58</c:f>
              <c:strCache>
                <c:ptCount val="4"/>
                <c:pt idx="0">
                  <c:v>Disbursed by Global Fund</c:v>
                </c:pt>
                <c:pt idx="1">
                  <c:v>PR expenditure and disbursement</c:v>
                </c:pt>
                <c:pt idx="2">
                  <c:v>Disbursed to SRs</c:v>
                </c:pt>
                <c:pt idx="3">
                  <c:v>SR expenditures</c:v>
                </c:pt>
              </c:strCache>
            </c:strRef>
          </c:cat>
          <c:val>
            <c:numRef>
              <c:f>'Data Entry'!$C$55:$C$58</c:f>
              <c:numCache>
                <c:formatCode>_(* #,##0_);_(* \(#,##0\);_(* "-"??_);_(@_)</c:formatCode>
                <c:ptCount val="4"/>
                <c:pt idx="0" formatCode="#,##0">
                  <c:v>16193581.270000001</c:v>
                </c:pt>
                <c:pt idx="1">
                  <c:v>5641030.4734302005</c:v>
                </c:pt>
                <c:pt idx="2">
                  <c:v>8474599.6922006011</c:v>
                </c:pt>
                <c:pt idx="3">
                  <c:v>8604788.4607294202</c:v>
                </c:pt>
              </c:numCache>
            </c:numRef>
          </c:val>
          <c:extLs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Entry'!$B$55:$B$58</c:f>
              <c:strCache>
                <c:ptCount val="4"/>
                <c:pt idx="0">
                  <c:v>Disbursed by Global Fund</c:v>
                </c:pt>
                <c:pt idx="1">
                  <c:v>PR expenditure and disbursement</c:v>
                </c:pt>
                <c:pt idx="2">
                  <c:v>Disbursed to SRs</c:v>
                </c:pt>
                <c:pt idx="3">
                  <c:v>SR expenditures</c:v>
                </c:pt>
              </c:strCache>
            </c:strRef>
          </c:cat>
          <c:val>
            <c:numRef>
              <c:f>'Data Entry'!$D$55:$D$58</c:f>
              <c:numCache>
                <c:formatCode>_(* #,##0_);_(* \(#,##0\);_(* "-"??_);_(@_)</c:formatCode>
                <c:ptCount val="4"/>
                <c:pt idx="0" formatCode="#,##0">
                  <c:v>1115896.53</c:v>
                </c:pt>
                <c:pt idx="1">
                  <c:v>853515.53663680039</c:v>
                </c:pt>
                <c:pt idx="2">
                  <c:v>798390.61102648848</c:v>
                </c:pt>
                <c:pt idx="3">
                  <c:v>937839.37249767</c:v>
                </c:pt>
              </c:numCache>
            </c:numRef>
          </c:val>
          <c:extLs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671919552"/>
        <c:axId val="-671917376"/>
      </c:barChart>
      <c:catAx>
        <c:axId val="-67191955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71917376"/>
        <c:crossesAt val="0"/>
        <c:auto val="1"/>
        <c:lblAlgn val="ctr"/>
        <c:lblOffset val="100"/>
        <c:noMultiLvlLbl val="0"/>
      </c:catAx>
      <c:valAx>
        <c:axId val="-67191737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1919552"/>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Comprehensive prevention programs for MSM</c:v>
                </c:pt>
                <c:pt idx="1">
                  <c:v>Comprehensive prevention programs for sex workers and their clients</c:v>
                </c:pt>
                <c:pt idx="2">
                  <c:v>Comprehensive prevention programs for people who inject drugs (PWID) and their partners</c:v>
                </c:pt>
                <c:pt idx="3">
                  <c:v>Comprehensive programs for people in prisons and other closed settings</c:v>
                </c:pt>
                <c:pt idx="4">
                  <c:v>Treatment, care and support</c:v>
                </c:pt>
              </c:strCache>
            </c:strRef>
          </c:cat>
          <c:val>
            <c:numRef>
              <c:f>'Data Entry'!$C$39:$C$43</c:f>
              <c:numCache>
                <c:formatCode>#,##0</c:formatCode>
                <c:ptCount val="5"/>
                <c:pt idx="0">
                  <c:v>1741903.0275764235</c:v>
                </c:pt>
                <c:pt idx="1">
                  <c:v>1055637.0045745978</c:v>
                </c:pt>
                <c:pt idx="2">
                  <c:v>6178916.4567774143</c:v>
                </c:pt>
                <c:pt idx="3">
                  <c:v>211917.96969559696</c:v>
                </c:pt>
                <c:pt idx="4">
                  <c:v>6152441.0630188268</c:v>
                </c:pt>
              </c:numCache>
            </c:numRef>
          </c:val>
          <c:extLs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Comprehensive prevention programs for MSM</c:v>
                </c:pt>
                <c:pt idx="1">
                  <c:v>Comprehensive prevention programs for sex workers and their clients</c:v>
                </c:pt>
                <c:pt idx="2">
                  <c:v>Comprehensive prevention programs for people who inject drugs (PWID) and their partners</c:v>
                </c:pt>
                <c:pt idx="3">
                  <c:v>Comprehensive programs for people in prisons and other closed settings</c:v>
                </c:pt>
                <c:pt idx="4">
                  <c:v>Treatment, care and support</c:v>
                </c:pt>
              </c:strCache>
            </c:strRef>
          </c:cat>
          <c:val>
            <c:numRef>
              <c:f>'Data Entry'!$D$39:$D$43</c:f>
              <c:numCache>
                <c:formatCode>#,##0</c:formatCode>
                <c:ptCount val="5"/>
                <c:pt idx="0">
                  <c:v>1534389.9817185295</c:v>
                </c:pt>
                <c:pt idx="1">
                  <c:v>883215.67469442647</c:v>
                </c:pt>
                <c:pt idx="2">
                  <c:v>5567454.9833330298</c:v>
                </c:pt>
                <c:pt idx="3">
                  <c:v>166259.67432590187</c:v>
                </c:pt>
                <c:pt idx="4">
                  <c:v>5593940.3347174497</c:v>
                </c:pt>
              </c:numCache>
            </c:numRef>
          </c:val>
          <c:extLs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671922272"/>
        <c:axId val="-671914656"/>
      </c:barChart>
      <c:catAx>
        <c:axId val="-67192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71914656"/>
        <c:crosses val="autoZero"/>
        <c:auto val="1"/>
        <c:lblAlgn val="ctr"/>
        <c:lblOffset val="100"/>
        <c:tickMarkSkip val="1"/>
        <c:noMultiLvlLbl val="0"/>
      </c:catAx>
      <c:valAx>
        <c:axId val="-6719146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67192227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A2-4CDC-8CE0-0E085F052E53}"/>
                </c:ext>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Entry'!$C$82</c:f>
              <c:numCache>
                <c:formatCode>General</c:formatCode>
                <c:ptCount val="1"/>
                <c:pt idx="0">
                  <c:v>16</c:v>
                </c:pt>
              </c:numCache>
            </c:numRef>
          </c:val>
          <c:extLs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671913024"/>
        <c:axId val="-671919008"/>
      </c:barChart>
      <c:catAx>
        <c:axId val="-671913024"/>
        <c:scaling>
          <c:orientation val="minMax"/>
        </c:scaling>
        <c:delete val="1"/>
        <c:axPos val="l"/>
        <c:majorTickMark val="out"/>
        <c:minorTickMark val="none"/>
        <c:tickLblPos val="nextTo"/>
        <c:crossAx val="-671919008"/>
        <c:crosses val="autoZero"/>
        <c:auto val="1"/>
        <c:lblAlgn val="ctr"/>
        <c:lblOffset val="100"/>
        <c:noMultiLvlLbl val="0"/>
      </c:catAx>
      <c:valAx>
        <c:axId val="-67191900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71913024"/>
        <c:crosses val="max"/>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Entry'!$C$87</c:f>
              <c:numCache>
                <c:formatCode>General</c:formatCode>
                <c:ptCount val="1"/>
                <c:pt idx="0">
                  <c:v>7</c:v>
                </c:pt>
              </c:numCache>
            </c:numRef>
          </c:val>
          <c:extLst>
            <c:ext xmlns:c16="http://schemas.microsoft.com/office/drawing/2014/chart" uri="{C3380CC4-5D6E-409C-BE32-E72D297353CC}">
              <c16:uniqueId val="{00000000-E986-4D8E-B9A2-30C0E039D4A6}"/>
            </c:ext>
          </c:extLst>
        </c:ser>
        <c:dLbls>
          <c:showLegendKey val="0"/>
          <c:showVal val="0"/>
          <c:showCatName val="0"/>
          <c:showSerName val="0"/>
          <c:showPercent val="0"/>
          <c:showBubbleSize val="0"/>
        </c:dLbls>
        <c:gapWidth val="150"/>
        <c:overlap val="-20"/>
        <c:axId val="-671921728"/>
        <c:axId val="-671924992"/>
      </c:barChart>
      <c:catAx>
        <c:axId val="-671921728"/>
        <c:scaling>
          <c:orientation val="minMax"/>
        </c:scaling>
        <c:delete val="0"/>
        <c:axPos val="b"/>
        <c:majorTickMark val="none"/>
        <c:minorTickMark val="none"/>
        <c:tickLblPos val="none"/>
        <c:spPr>
          <a:ln w="3175">
            <a:solidFill>
              <a:srgbClr val="000000"/>
            </a:solidFill>
            <a:prstDash val="solid"/>
          </a:ln>
        </c:spPr>
        <c:crossAx val="-671924992"/>
        <c:crosses val="autoZero"/>
        <c:auto val="0"/>
        <c:lblAlgn val="ctr"/>
        <c:lblOffset val="100"/>
        <c:tickMarkSkip val="1"/>
        <c:noMultiLvlLbl val="0"/>
      </c:catAx>
      <c:valAx>
        <c:axId val="-6719249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1921728"/>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Entry'!$D$74</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Entry'!$B$75:$B$76</c:f>
              <c:strCache>
                <c:ptCount val="1"/>
                <c:pt idx="0">
                  <c:v>NFM Grant Requirements</c:v>
                </c:pt>
              </c:strCache>
            </c:strRef>
          </c:cat>
          <c:val>
            <c:numRef>
              <c:f>'Data Entry'!$D$75:$D$76</c:f>
              <c:numCache>
                <c:formatCode>0</c:formatCode>
                <c:ptCount val="2"/>
                <c:pt idx="0">
                  <c:v>8</c:v>
                </c:pt>
              </c:numCache>
            </c:numRef>
          </c:val>
          <c:extLst>
            <c:ext xmlns:c16="http://schemas.microsoft.com/office/drawing/2014/chart" uri="{C3380CC4-5D6E-409C-BE32-E72D297353CC}">
              <c16:uniqueId val="{00000000-7D77-426D-8180-9FF2722F8EBA}"/>
            </c:ext>
          </c:extLst>
        </c:ser>
        <c:ser>
          <c:idx val="1"/>
          <c:order val="1"/>
          <c:tx>
            <c:strRef>
              <c:f>'Data Entry'!$E$74</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Entry'!$B$75:$B$76</c:f>
              <c:strCache>
                <c:ptCount val="1"/>
                <c:pt idx="0">
                  <c:v>NFM Grant Requirements</c:v>
                </c:pt>
              </c:strCache>
            </c:strRef>
          </c:cat>
          <c:val>
            <c:numRef>
              <c:f>'Data Entry'!$E$75:$E$76</c:f>
              <c:numCache>
                <c:formatCode>0</c:formatCode>
                <c:ptCount val="2"/>
                <c:pt idx="0">
                  <c:v>0</c:v>
                </c:pt>
              </c:numCache>
            </c:numRef>
          </c:val>
          <c:extLst>
            <c:ext xmlns:c16="http://schemas.microsoft.com/office/drawing/2014/chart" uri="{C3380CC4-5D6E-409C-BE32-E72D297353CC}">
              <c16:uniqueId val="{00000001-7D77-426D-8180-9FF2722F8EBA}"/>
            </c:ext>
          </c:extLst>
        </c:ser>
        <c:ser>
          <c:idx val="2"/>
          <c:order val="2"/>
          <c:tx>
            <c:strRef>
              <c:f>'Data Entry'!$F$74</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D77-426D-8180-9FF2722F8EB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Entry'!$B$75:$B$76</c:f>
              <c:strCache>
                <c:ptCount val="1"/>
                <c:pt idx="0">
                  <c:v>NFM Grant Requirements</c:v>
                </c:pt>
              </c:strCache>
            </c:strRef>
          </c:cat>
          <c:val>
            <c:numRef>
              <c:f>'Data Entry'!$F$75:$F$76</c:f>
              <c:numCache>
                <c:formatCode>0</c:formatCode>
                <c:ptCount val="2"/>
                <c:pt idx="0">
                  <c:v>0</c:v>
                </c:pt>
              </c:numCache>
            </c:numRef>
          </c:val>
          <c:extLs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671911936"/>
        <c:axId val="-671924448"/>
      </c:barChart>
      <c:catAx>
        <c:axId val="-671911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1924448"/>
        <c:crosses val="autoZero"/>
        <c:auto val="1"/>
        <c:lblAlgn val="ctr"/>
        <c:lblOffset val="100"/>
        <c:tickLblSkip val="1"/>
        <c:tickMarkSkip val="1"/>
        <c:noMultiLvlLbl val="0"/>
      </c:catAx>
      <c:valAx>
        <c:axId val="-6719244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71911936"/>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Entry'!$D$91</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Entry'!$B$92:$B$93</c:f>
              <c:strCache>
                <c:ptCount val="2"/>
                <c:pt idx="0">
                  <c:v>SSR to SR</c:v>
                </c:pt>
                <c:pt idx="1">
                  <c:v>SRs to PR</c:v>
                </c:pt>
              </c:strCache>
            </c:strRef>
          </c:cat>
          <c:val>
            <c:numRef>
              <c:f>'Data Entry'!$D$92:$D$93</c:f>
              <c:numCache>
                <c:formatCode>0</c:formatCode>
                <c:ptCount val="2"/>
                <c:pt idx="0">
                  <c:v>165</c:v>
                </c:pt>
                <c:pt idx="1">
                  <c:v>21</c:v>
                </c:pt>
              </c:numCache>
            </c:numRef>
          </c:val>
          <c:extLst>
            <c:ext xmlns:c16="http://schemas.microsoft.com/office/drawing/2014/chart" uri="{C3380CC4-5D6E-409C-BE32-E72D297353CC}">
              <c16:uniqueId val="{00000000-8659-4553-BB7E-880CD8E77304}"/>
            </c:ext>
          </c:extLst>
        </c:ser>
        <c:ser>
          <c:idx val="2"/>
          <c:order val="1"/>
          <c:tx>
            <c:strRef>
              <c:f>'Data Entry'!$E$91</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Entry'!$B$92:$B$93</c:f>
              <c:strCache>
                <c:ptCount val="2"/>
                <c:pt idx="0">
                  <c:v>SSR to SR</c:v>
                </c:pt>
                <c:pt idx="1">
                  <c:v>SRs to PR</c:v>
                </c:pt>
              </c:strCache>
            </c:strRef>
          </c:cat>
          <c:val>
            <c:numRef>
              <c:f>'Data Entry'!$E$92:$E$93</c:f>
              <c:numCache>
                <c:formatCode>General</c:formatCode>
                <c:ptCount val="2"/>
                <c:pt idx="0" formatCode="0">
                  <c:v>0</c:v>
                </c:pt>
                <c:pt idx="1">
                  <c:v>0</c:v>
                </c:pt>
              </c:numCache>
            </c:numRef>
          </c:val>
          <c:extLs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671911392"/>
        <c:axId val="-671915744"/>
      </c:barChart>
      <c:catAx>
        <c:axId val="-6719113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71915744"/>
        <c:crosses val="autoZero"/>
        <c:auto val="1"/>
        <c:lblAlgn val="ctr"/>
        <c:lblOffset val="100"/>
        <c:noMultiLvlLbl val="0"/>
      </c:catAx>
      <c:valAx>
        <c:axId val="-67191574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71911392"/>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US"/>
          </a:p>
        </c:txPr>
      </c:legendEntry>
      <c:legendEntry>
        <c:idx val="1"/>
        <c:txPr>
          <a:bodyPr/>
          <a:lstStyle/>
          <a:p>
            <a:pPr>
              <a:defRPr sz="475" b="0" i="0" u="none" strike="noStrike" baseline="0">
                <a:solidFill>
                  <a:srgbClr val="000000"/>
                </a:solidFill>
                <a:latin typeface="Calibri"/>
                <a:ea typeface="Calibri"/>
                <a:cs typeface="Calibri"/>
              </a:defRPr>
            </a:pPr>
            <a:endParaRPr lang="en-US"/>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Entry'!$B$101</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Entry'!$C$101:$N$101</c:f>
              <c:numCache>
                <c:formatCode>#,##0</c:formatCode>
                <c:ptCount val="12"/>
                <c:pt idx="0">
                  <c:v>621513.13962743431</c:v>
                </c:pt>
                <c:pt idx="1">
                  <c:v>894948.3368873836</c:v>
                </c:pt>
                <c:pt idx="2">
                  <c:v>951421.42044623208</c:v>
                </c:pt>
                <c:pt idx="3">
                  <c:v>2168363.0973183746</c:v>
                </c:pt>
                <c:pt idx="4">
                  <c:v>2286006.2399684167</c:v>
                </c:pt>
                <c:pt idx="5">
                  <c:v>2777337.8103684168</c:v>
                </c:pt>
                <c:pt idx="6">
                  <c:v>2933320.8094779006</c:v>
                </c:pt>
                <c:pt idx="7">
                  <c:v>3384750.8848053254</c:v>
                </c:pt>
                <c:pt idx="8">
                  <c:v>3828142.1613331926</c:v>
                </c:pt>
                <c:pt idx="9">
                  <c:v>4318455.4938331926</c:v>
                </c:pt>
                <c:pt idx="10">
                  <c:v>4433829.3846037257</c:v>
                </c:pt>
                <c:pt idx="11">
                  <c:v>4909342.1605901774</c:v>
                </c:pt>
              </c:numCache>
            </c:numRef>
          </c:val>
          <c:smooth val="0"/>
          <c:extLst>
            <c:ext xmlns:c16="http://schemas.microsoft.com/office/drawing/2014/chart" uri="{C3380CC4-5D6E-409C-BE32-E72D297353CC}">
              <c16:uniqueId val="{00000000-842A-4717-9F14-C1424E821776}"/>
            </c:ext>
          </c:extLst>
        </c:ser>
        <c:ser>
          <c:idx val="1"/>
          <c:order val="1"/>
          <c:tx>
            <c:strRef>
              <c:f>'Data Entry'!$B$102</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Entry'!$C$102:$N$102</c:f>
              <c:numCache>
                <c:formatCode>#,##0</c:formatCode>
                <c:ptCount val="12"/>
                <c:pt idx="0">
                  <c:v>19935.614027557196</c:v>
                </c:pt>
                <c:pt idx="1">
                  <c:v>1245108.6140275572</c:v>
                </c:pt>
                <c:pt idx="2">
                  <c:v>1470070.521603412</c:v>
                </c:pt>
                <c:pt idx="3">
                  <c:v>2069658.8399816109</c:v>
                </c:pt>
                <c:pt idx="4">
                  <c:v>2649687.9109227825</c:v>
                </c:pt>
                <c:pt idx="5">
                  <c:v>2781587.6509227827</c:v>
                </c:pt>
                <c:pt idx="6">
                  <c:v>2812179.3109227829</c:v>
                </c:pt>
                <c:pt idx="7">
                  <c:v>2855050.2909227828</c:v>
                </c:pt>
                <c:pt idx="8">
                  <c:v>3346557.6902574161</c:v>
                </c:pt>
                <c:pt idx="9">
                  <c:v>3818511.6902574161</c:v>
                </c:pt>
                <c:pt idx="10">
                  <c:v>4248501.5360625731</c:v>
                </c:pt>
                <c:pt idx="11">
                  <c:v>4941563.5360625731</c:v>
                </c:pt>
              </c:numCache>
            </c:numRef>
          </c:val>
          <c:smooth val="0"/>
          <c:extLst>
            <c:ext xmlns:c16="http://schemas.microsoft.com/office/drawing/2014/chart" uri="{C3380CC4-5D6E-409C-BE32-E72D297353CC}">
              <c16:uniqueId val="{00000001-842A-4717-9F14-C1424E821776}"/>
            </c:ext>
          </c:extLst>
        </c:ser>
        <c:ser>
          <c:idx val="2"/>
          <c:order val="2"/>
          <c:tx>
            <c:strRef>
              <c:f>'Data Entry'!$B$103</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Entry'!$C$103:$N$103</c:f>
              <c:numCache>
                <c:formatCode>#,##0</c:formatCode>
                <c:ptCount val="12"/>
                <c:pt idx="0">
                  <c:v>579569.05894063821</c:v>
                </c:pt>
                <c:pt idx="1">
                  <c:v>790694.85894063814</c:v>
                </c:pt>
                <c:pt idx="2">
                  <c:v>1208639.8589406381</c:v>
                </c:pt>
                <c:pt idx="3">
                  <c:v>1870218.8589406381</c:v>
                </c:pt>
                <c:pt idx="4">
                  <c:v>2122543.8589406381</c:v>
                </c:pt>
                <c:pt idx="5">
                  <c:v>2765047.8589406381</c:v>
                </c:pt>
                <c:pt idx="6">
                  <c:v>2917854.8589406381</c:v>
                </c:pt>
                <c:pt idx="7">
                  <c:v>3363349.8589406381</c:v>
                </c:pt>
                <c:pt idx="8">
                  <c:v>3533185.8589406381</c:v>
                </c:pt>
                <c:pt idx="9">
                  <c:v>4103192.8589406381</c:v>
                </c:pt>
                <c:pt idx="10">
                  <c:v>4192692.8589406381</c:v>
                </c:pt>
                <c:pt idx="11">
                  <c:v>4573329.8589406386</c:v>
                </c:pt>
              </c:numCache>
            </c:numRef>
          </c:val>
          <c:smooth val="0"/>
          <c:extLs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954039888"/>
        <c:axId val="-954035536"/>
      </c:lineChart>
      <c:catAx>
        <c:axId val="-954039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954035536"/>
        <c:crosses val="autoZero"/>
        <c:auto val="1"/>
        <c:lblAlgn val="ctr"/>
        <c:lblOffset val="100"/>
        <c:tickLblSkip val="1"/>
        <c:tickMarkSkip val="1"/>
        <c:noMultiLvlLbl val="0"/>
      </c:catAx>
      <c:valAx>
        <c:axId val="-9540355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954039888"/>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Entry'!$G$123</c:f>
              <c:strCache>
                <c:ptCount val="1"/>
                <c:pt idx="0">
                  <c:v>Target</c:v>
                </c:pt>
              </c:strCache>
            </c:strRef>
          </c:tx>
          <c:spPr>
            <a:solidFill>
              <a:srgbClr val="0066CC"/>
            </a:solidFill>
            <a:ln w="25400">
              <a:noFill/>
            </a:ln>
          </c:spPr>
          <c:invertIfNegative val="0"/>
          <c:cat>
            <c:strRef>
              <c:f>'Data Entry'!$H$119:$S$119</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Entry'!$H$123:$S$123</c:f>
              <c:numCache>
                <c:formatCode>_(* #,##0_);_(* \(#,##0\);_(* "-"??_);_(@_)</c:formatCode>
                <c:ptCount val="12"/>
                <c:pt idx="0">
                  <c:v>4250</c:v>
                </c:pt>
                <c:pt idx="1">
                  <c:v>4250</c:v>
                </c:pt>
                <c:pt idx="2" formatCode="#,##0">
                  <c:v>1487.5</c:v>
                </c:pt>
                <c:pt idx="3" formatCode="#,##0">
                  <c:v>2975</c:v>
                </c:pt>
                <c:pt idx="4" formatCode="#,##0">
                  <c:v>4462.5</c:v>
                </c:pt>
                <c:pt idx="5" formatCode="#,##0">
                  <c:v>5950</c:v>
                </c:pt>
                <c:pt idx="6" formatCode="#,##0">
                  <c:v>2125</c:v>
                </c:pt>
                <c:pt idx="7" formatCode="#,##0">
                  <c:v>4250</c:v>
                </c:pt>
                <c:pt idx="8" formatCode="#,##0">
                  <c:v>6375</c:v>
                </c:pt>
                <c:pt idx="9" formatCode="#,##0">
                  <c:v>8500</c:v>
                </c:pt>
                <c:pt idx="10" formatCode="#,##0">
                  <c:v>2081.25</c:v>
                </c:pt>
                <c:pt idx="11" formatCode="#,##0">
                  <c:v>4162.5</c:v>
                </c:pt>
              </c:numCache>
            </c:numRef>
          </c:val>
          <c:extLst>
            <c:ext xmlns:c16="http://schemas.microsoft.com/office/drawing/2014/chart" uri="{C3380CC4-5D6E-409C-BE32-E72D297353CC}">
              <c16:uniqueId val="{00000000-28ED-4437-92EF-FD6AED73C63F}"/>
            </c:ext>
          </c:extLst>
        </c:ser>
        <c:ser>
          <c:idx val="1"/>
          <c:order val="1"/>
          <c:tx>
            <c:strRef>
              <c:f>'Data Entry'!$G$124</c:f>
              <c:strCache>
                <c:ptCount val="1"/>
                <c:pt idx="0">
                  <c:v>Achieved </c:v>
                </c:pt>
              </c:strCache>
            </c:strRef>
          </c:tx>
          <c:spPr>
            <a:solidFill>
              <a:srgbClr val="00CCFF"/>
            </a:solidFill>
            <a:ln w="12700">
              <a:solidFill>
                <a:srgbClr val="000000"/>
              </a:solidFill>
              <a:prstDash val="solid"/>
            </a:ln>
          </c:spPr>
          <c:invertIfNegative val="0"/>
          <c:cat>
            <c:strRef>
              <c:f>'Data Entry'!$H$119:$S$119</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Entry'!$H$124:$S$124</c:f>
              <c:numCache>
                <c:formatCode>_(* #,##0_);_(* \(#,##0\);_(* "-"??_);_(@_)</c:formatCode>
                <c:ptCount val="12"/>
                <c:pt idx="0">
                  <c:v>3167</c:v>
                </c:pt>
                <c:pt idx="1">
                  <c:v>3826</c:v>
                </c:pt>
                <c:pt idx="2" formatCode="#,##0">
                  <c:v>1383</c:v>
                </c:pt>
                <c:pt idx="3" formatCode="#,##0">
                  <c:v>2314</c:v>
                </c:pt>
                <c:pt idx="4" formatCode="#,##0">
                  <c:v>3126</c:v>
                </c:pt>
                <c:pt idx="5" formatCode="#,##0">
                  <c:v>3846</c:v>
                </c:pt>
                <c:pt idx="6" formatCode="#,##0">
                  <c:v>1857</c:v>
                </c:pt>
                <c:pt idx="7" formatCode="#,##0">
                  <c:v>3464</c:v>
                </c:pt>
                <c:pt idx="8" formatCode="#,##0">
                  <c:v>5523</c:v>
                </c:pt>
                <c:pt idx="9" formatCode="#,##0">
                  <c:v>7104</c:v>
                </c:pt>
                <c:pt idx="10" formatCode="#,##0">
                  <c:v>2404</c:v>
                </c:pt>
                <c:pt idx="11" formatCode="#,##0">
                  <c:v>4847</c:v>
                </c:pt>
              </c:numCache>
            </c:numRef>
          </c:val>
          <c:extLs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954027376"/>
        <c:axId val="-954037712"/>
      </c:barChart>
      <c:catAx>
        <c:axId val="-954027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54037712"/>
        <c:crosses val="autoZero"/>
        <c:auto val="1"/>
        <c:lblAlgn val="ctr"/>
        <c:lblOffset val="100"/>
        <c:tickLblSkip val="1"/>
        <c:tickMarkSkip val="1"/>
        <c:noMultiLvlLbl val="0"/>
      </c:catAx>
      <c:valAx>
        <c:axId val="-95403771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54027376"/>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a:extLst>
            <a:ext uri="{FF2B5EF4-FFF2-40B4-BE49-F238E27FC236}">
              <a16:creationId xmlns:a16="http://schemas.microsoft.com/office/drawing/2014/main" id="{00000000-0008-0000-0000-000032715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a:extLst>
            <a:ext uri="{FF2B5EF4-FFF2-40B4-BE49-F238E27FC236}">
              <a16:creationId xmlns:a16="http://schemas.microsoft.com/office/drawing/2014/main" id="{00000000-0008-0000-0000-000033715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a:extLst>
            <a:ext uri="{FF2B5EF4-FFF2-40B4-BE49-F238E27FC236}">
              <a16:creationId xmlns:a16="http://schemas.microsoft.com/office/drawing/2014/main" id="{00000000-0008-0000-0000-000034715200}"/>
            </a:ext>
          </a:extLst>
        </xdr:cNvPr>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a:extLst>
            <a:ext uri="{FF2B5EF4-FFF2-40B4-BE49-F238E27FC236}">
              <a16:creationId xmlns:a16="http://schemas.microsoft.com/office/drawing/2014/main" id="{00000000-0008-0000-0000-000035715200}"/>
            </a:ext>
          </a:extLst>
        </xdr:cNvPr>
        <xdr:cNvGrpSpPr>
          <a:grpSpLocks/>
        </xdr:cNvGrpSpPr>
      </xdr:nvGrpSpPr>
      <xdr:grpSpPr bwMode="auto">
        <a:xfrm>
          <a:off x="3457575" y="2452688"/>
          <a:ext cx="1041400" cy="355600"/>
          <a:chOff x="1200" y="1912"/>
          <a:chExt cx="3456" cy="774"/>
        </a:xfrm>
      </xdr:grpSpPr>
      <xdr:sp macro="" textlink="">
        <xdr:nvSpPr>
          <xdr:cNvPr id="5402977" name="AutoShape 26">
            <a:extLst>
              <a:ext uri="{FF2B5EF4-FFF2-40B4-BE49-F238E27FC236}">
                <a16:creationId xmlns:a16="http://schemas.microsoft.com/office/drawing/2014/main" id="{00000000-0008-0000-0000-000061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a:extLst>
              <a:ext uri="{FF2B5EF4-FFF2-40B4-BE49-F238E27FC236}">
                <a16:creationId xmlns:a16="http://schemas.microsoft.com/office/drawing/2014/main" id="{00000000-0008-0000-0000-000016000000}"/>
              </a:ext>
            </a:extLst>
          </xdr:cNvPr>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a:extLst>
            <a:ext uri="{FF2B5EF4-FFF2-40B4-BE49-F238E27FC236}">
              <a16:creationId xmlns:a16="http://schemas.microsoft.com/office/drawing/2014/main" id="{00000000-0008-0000-0000-000036715200}"/>
            </a:ext>
          </a:extLst>
        </xdr:cNvPr>
        <xdr:cNvGrpSpPr>
          <a:grpSpLocks/>
        </xdr:cNvGrpSpPr>
      </xdr:nvGrpSpPr>
      <xdr:grpSpPr bwMode="auto">
        <a:xfrm>
          <a:off x="3495675" y="3519488"/>
          <a:ext cx="1117600" cy="368300"/>
          <a:chOff x="1200" y="1912"/>
          <a:chExt cx="3456" cy="774"/>
        </a:xfrm>
      </xdr:grpSpPr>
      <xdr:sp macro="" textlink="">
        <xdr:nvSpPr>
          <xdr:cNvPr id="5402974" name="AutoShape 26">
            <a:extLst>
              <a:ext uri="{FF2B5EF4-FFF2-40B4-BE49-F238E27FC236}">
                <a16:creationId xmlns:a16="http://schemas.microsoft.com/office/drawing/2014/main" id="{00000000-0008-0000-0000-00005E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a:extLst>
            <a:ext uri="{FF2B5EF4-FFF2-40B4-BE49-F238E27FC236}">
              <a16:creationId xmlns:a16="http://schemas.microsoft.com/office/drawing/2014/main" id="{00000000-0008-0000-0000-000037715200}"/>
            </a:ext>
          </a:extLst>
        </xdr:cNvPr>
        <xdr:cNvGrpSpPr>
          <a:grpSpLocks/>
        </xdr:cNvGrpSpPr>
      </xdr:nvGrpSpPr>
      <xdr:grpSpPr bwMode="auto">
        <a:xfrm>
          <a:off x="3457575" y="2973388"/>
          <a:ext cx="1117600" cy="368300"/>
          <a:chOff x="1200" y="1912"/>
          <a:chExt cx="3456" cy="774"/>
        </a:xfrm>
      </xdr:grpSpPr>
      <xdr:sp macro="" textlink="">
        <xdr:nvSpPr>
          <xdr:cNvPr id="5402971" name="AutoShape 26">
            <a:extLst>
              <a:ext uri="{FF2B5EF4-FFF2-40B4-BE49-F238E27FC236}">
                <a16:creationId xmlns:a16="http://schemas.microsoft.com/office/drawing/2014/main" id="{00000000-0008-0000-0000-00005B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a:extLst>
              <a:ext uri="{FF2B5EF4-FFF2-40B4-BE49-F238E27FC236}">
                <a16:creationId xmlns:a16="http://schemas.microsoft.com/office/drawing/2014/main" id="{00000000-0008-0000-0000-0000452C0300}"/>
              </a:ext>
            </a:extLst>
          </xdr:cNvPr>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a:extLst>
            <a:ext uri="{FF2B5EF4-FFF2-40B4-BE49-F238E27FC236}">
              <a16:creationId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a:extLst>
            <a:ext uri="{FF2B5EF4-FFF2-40B4-BE49-F238E27FC236}">
              <a16:creationId xmlns:a16="http://schemas.microsoft.com/office/drawing/2014/main" id="{00000000-0008-0000-0000-000039715200}"/>
            </a:ext>
          </a:extLst>
        </xdr:cNvPr>
        <xdr:cNvGrpSpPr>
          <a:grpSpLocks/>
        </xdr:cNvGrpSpPr>
      </xdr:nvGrpSpPr>
      <xdr:grpSpPr bwMode="auto">
        <a:xfrm>
          <a:off x="5756275" y="2579688"/>
          <a:ext cx="1482725" cy="406400"/>
          <a:chOff x="599" y="262"/>
          <a:chExt cx="158" cy="43"/>
        </a:xfrm>
      </xdr:grpSpPr>
      <xdr:sp macro="" textlink="">
        <xdr:nvSpPr>
          <xdr:cNvPr id="5402967" name="AutoShape 30">
            <a:extLst>
              <a:ext uri="{FF2B5EF4-FFF2-40B4-BE49-F238E27FC236}">
                <a16:creationId xmlns:a16="http://schemas.microsoft.com/office/drawing/2014/main" id="{00000000-0008-0000-0000-0000577152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a:extLst>
              <a:ext uri="{FF2B5EF4-FFF2-40B4-BE49-F238E27FC236}">
                <a16:creationId xmlns:a16="http://schemas.microsoft.com/office/drawing/2014/main" id="{00000000-0008-0000-0000-0000587152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id="{00000000-0008-0000-0000-000027130000}"/>
                </a:ext>
              </a:extLst>
            </xdr:cNvPr>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a:extLst>
                <a:ext uri="{FF2B5EF4-FFF2-40B4-BE49-F238E27FC236}">
                  <a16:creationId xmlns:a16="http://schemas.microsoft.com/office/drawing/2014/main" id="{00000000-0008-0000-0000-00005A7152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a:extLst>
            <a:ext uri="{FF2B5EF4-FFF2-40B4-BE49-F238E27FC236}">
              <a16:creationId xmlns:a16="http://schemas.microsoft.com/office/drawing/2014/main" id="{00000000-0008-0000-0000-00003A715200}"/>
            </a:ext>
          </a:extLst>
        </xdr:cNvPr>
        <xdr:cNvGrpSpPr>
          <a:grpSpLocks/>
        </xdr:cNvGrpSpPr>
      </xdr:nvGrpSpPr>
      <xdr:grpSpPr bwMode="auto">
        <a:xfrm>
          <a:off x="358775" y="1906588"/>
          <a:ext cx="2133600" cy="2108200"/>
          <a:chOff x="32" y="188"/>
          <a:chExt cx="225" cy="225"/>
        </a:xfrm>
      </xdr:grpSpPr>
      <xdr:sp macro="" textlink="">
        <xdr:nvSpPr>
          <xdr:cNvPr id="5402965" name="AutoShape 31">
            <a:extLst>
              <a:ext uri="{FF2B5EF4-FFF2-40B4-BE49-F238E27FC236}">
                <a16:creationId xmlns:a16="http://schemas.microsoft.com/office/drawing/2014/main" id="{00000000-0008-0000-0000-0000557152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a:extLst>
            <a:ext uri="{FF2B5EF4-FFF2-40B4-BE49-F238E27FC236}">
              <a16:creationId xmlns:a16="http://schemas.microsoft.com/office/drawing/2014/main" id="{00000000-0008-0000-0000-00003B715200}"/>
            </a:ext>
          </a:extLst>
        </xdr:cNvPr>
        <xdr:cNvGrpSpPr>
          <a:grpSpLocks/>
        </xdr:cNvGrpSpPr>
      </xdr:nvGrpSpPr>
      <xdr:grpSpPr bwMode="auto">
        <a:xfrm>
          <a:off x="5743575" y="3214688"/>
          <a:ext cx="1482725" cy="406400"/>
          <a:chOff x="578" y="328"/>
          <a:chExt cx="158" cy="43"/>
        </a:xfrm>
      </xdr:grpSpPr>
      <xdr:sp macro="" textlink="">
        <xdr:nvSpPr>
          <xdr:cNvPr id="5402961" name="AutoShape 30">
            <a:extLst>
              <a:ext uri="{FF2B5EF4-FFF2-40B4-BE49-F238E27FC236}">
                <a16:creationId xmlns:a16="http://schemas.microsoft.com/office/drawing/2014/main" id="{00000000-0008-0000-0000-0000517152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a:extLst>
              <a:ext uri="{FF2B5EF4-FFF2-40B4-BE49-F238E27FC236}">
                <a16:creationId xmlns:a16="http://schemas.microsoft.com/office/drawing/2014/main" id="{00000000-0008-0000-0000-0000527152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id="{00000000-0008-0000-0000-00002C130000}"/>
                </a:ext>
              </a:extLst>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a:extLst>
                <a:ext uri="{FF2B5EF4-FFF2-40B4-BE49-F238E27FC236}">
                  <a16:creationId xmlns:a16="http://schemas.microsoft.com/office/drawing/2014/main" id="{00000000-0008-0000-0000-0000547152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a:extLst>
            <a:ext uri="{FF2B5EF4-FFF2-40B4-BE49-F238E27FC236}">
              <a16:creationId xmlns:a16="http://schemas.microsoft.com/office/drawing/2014/main" id="{00000000-0008-0000-0000-00003C715200}"/>
            </a:ext>
          </a:extLst>
        </xdr:cNvPr>
        <xdr:cNvGrpSpPr>
          <a:grpSpLocks/>
        </xdr:cNvGrpSpPr>
      </xdr:nvGrpSpPr>
      <xdr:grpSpPr bwMode="auto">
        <a:xfrm>
          <a:off x="676275" y="3468688"/>
          <a:ext cx="1498600" cy="355600"/>
          <a:chOff x="56" y="259"/>
          <a:chExt cx="158" cy="40"/>
        </a:xfrm>
      </xdr:grpSpPr>
      <xdr:sp macro="" textlink="">
        <xdr:nvSpPr>
          <xdr:cNvPr id="5402957" name="AutoShape 30">
            <a:extLst>
              <a:ext uri="{FF2B5EF4-FFF2-40B4-BE49-F238E27FC236}">
                <a16:creationId xmlns:a16="http://schemas.microsoft.com/office/drawing/2014/main" id="{00000000-0008-0000-0000-00004D7152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a:extLst>
              <a:ext uri="{FF2B5EF4-FFF2-40B4-BE49-F238E27FC236}">
                <a16:creationId xmlns:a16="http://schemas.microsoft.com/office/drawing/2014/main" id="{00000000-0008-0000-0000-00004E7152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id="{00000000-0008-0000-0000-000009000000}"/>
                </a:ext>
              </a:extLst>
            </xdr:cNvPr>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a:extLst>
            <a:ext uri="{FF2B5EF4-FFF2-40B4-BE49-F238E27FC236}">
              <a16:creationId xmlns:a16="http://schemas.microsoft.com/office/drawing/2014/main" id="{00000000-0008-0000-0000-00003D715200}"/>
            </a:ext>
          </a:extLst>
        </xdr:cNvPr>
        <xdr:cNvGrpSpPr>
          <a:grpSpLocks/>
        </xdr:cNvGrpSpPr>
      </xdr:nvGrpSpPr>
      <xdr:grpSpPr bwMode="auto">
        <a:xfrm>
          <a:off x="676275" y="2414588"/>
          <a:ext cx="1498600" cy="368300"/>
          <a:chOff x="1343025" y="2428876"/>
          <a:chExt cx="3240982" cy="617274"/>
        </a:xfrm>
      </xdr:grpSpPr>
      <xdr:sp macro="" textlink="">
        <xdr:nvSpPr>
          <xdr:cNvPr id="5402953" name="AutoShape 30">
            <a:extLst>
              <a:ext uri="{FF2B5EF4-FFF2-40B4-BE49-F238E27FC236}">
                <a16:creationId xmlns:a16="http://schemas.microsoft.com/office/drawing/2014/main" id="{00000000-0008-0000-0000-000049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a:extLst>
              <a:ext uri="{FF2B5EF4-FFF2-40B4-BE49-F238E27FC236}">
                <a16:creationId xmlns:a16="http://schemas.microsoft.com/office/drawing/2014/main" id="{00000000-0008-0000-0000-00004A7152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a:extLst>
            <a:ext uri="{FF2B5EF4-FFF2-40B4-BE49-F238E27FC236}">
              <a16:creationId xmlns:a16="http://schemas.microsoft.com/office/drawing/2014/main" id="{00000000-0008-0000-0000-00003E715200}"/>
            </a:ext>
          </a:extLst>
        </xdr:cNvPr>
        <xdr:cNvGrpSpPr>
          <a:grpSpLocks/>
        </xdr:cNvGrpSpPr>
      </xdr:nvGrpSpPr>
      <xdr:grpSpPr bwMode="auto">
        <a:xfrm>
          <a:off x="676275" y="2947988"/>
          <a:ext cx="1498600" cy="381000"/>
          <a:chOff x="1343025" y="2428876"/>
          <a:chExt cx="3240982" cy="617274"/>
        </a:xfrm>
      </xdr:grpSpPr>
      <xdr:sp macro="" textlink="">
        <xdr:nvSpPr>
          <xdr:cNvPr id="5402949" name="AutoShape 30">
            <a:extLst>
              <a:ext uri="{FF2B5EF4-FFF2-40B4-BE49-F238E27FC236}">
                <a16:creationId xmlns:a16="http://schemas.microsoft.com/office/drawing/2014/main" id="{00000000-0008-0000-0000-000045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a:extLst>
              <a:ext uri="{FF2B5EF4-FFF2-40B4-BE49-F238E27FC236}">
                <a16:creationId xmlns:a16="http://schemas.microsoft.com/office/drawing/2014/main" id="{00000000-0008-0000-0000-0000467152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id="{00000000-0008-0000-0000-00000E000000}"/>
                </a:ext>
              </a:extLst>
            </xdr:cNvPr>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a:extLst>
            <a:ext uri="{FF2B5EF4-FFF2-40B4-BE49-F238E27FC236}">
              <a16:creationId xmlns:a16="http://schemas.microsoft.com/office/drawing/2014/main" id="{00000000-0008-0000-0000-00003F7152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a:extLst>
            <a:ext uri="{FF2B5EF4-FFF2-40B4-BE49-F238E27FC236}">
              <a16:creationId xmlns:a16="http://schemas.microsoft.com/office/drawing/2014/main" id="{00000000-0008-0000-0000-0000417152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a:extLst>
            <a:ext uri="{FF2B5EF4-FFF2-40B4-BE49-F238E27FC236}">
              <a16:creationId xmlns:a16="http://schemas.microsoft.com/office/drawing/2014/main" id="{00000000-0008-0000-0000-0000437152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a:extLst>
            <a:ext uri="{FF2B5EF4-FFF2-40B4-BE49-F238E27FC236}">
              <a16:creationId xmlns:a16="http://schemas.microsoft.com/office/drawing/2014/main" id="{00000000-0008-0000-0900-0000A0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48</xdr:row>
      <xdr:rowOff>165100</xdr:rowOff>
    </xdr:to>
    <xdr:cxnSp macro="">
      <xdr:nvCxnSpPr>
        <xdr:cNvPr id="4254007" name="AutoShape 100">
          <a:extLst>
            <a:ext uri="{FF2B5EF4-FFF2-40B4-BE49-F238E27FC236}">
              <a16:creationId xmlns:a16="http://schemas.microsoft.com/office/drawing/2014/main" id="{00000000-0008-0000-0200-000037E94000}"/>
            </a:ext>
          </a:extLst>
        </xdr:cNvPr>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49</xdr:row>
      <xdr:rowOff>101600</xdr:rowOff>
    </xdr:from>
    <xdr:to>
      <xdr:col>4</xdr:col>
      <xdr:colOff>1219200</xdr:colOff>
      <xdr:row>49</xdr:row>
      <xdr:rowOff>101600</xdr:rowOff>
    </xdr:to>
    <xdr:cxnSp macro="">
      <xdr:nvCxnSpPr>
        <xdr:cNvPr id="4254008" name="AutoShape 101">
          <a:extLst>
            <a:ext uri="{FF2B5EF4-FFF2-40B4-BE49-F238E27FC236}">
              <a16:creationId xmlns:a16="http://schemas.microsoft.com/office/drawing/2014/main" id="{00000000-0008-0000-0200-000038E94000}"/>
            </a:ext>
          </a:extLst>
        </xdr:cNvPr>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a:extLst>
            <a:ext uri="{FF2B5EF4-FFF2-40B4-BE49-F238E27FC236}">
              <a16:creationId xmlns:a16="http://schemas.microsoft.com/office/drawing/2014/main" id="{00000000-0008-0000-0400-00000894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a:extLst>
            <a:ext uri="{FF2B5EF4-FFF2-40B4-BE49-F238E27FC236}">
              <a16:creationId xmlns:a16="http://schemas.microsoft.com/office/drawing/2014/main" id="{00000000-0008-0000-0400-00000A945300}"/>
            </a:ext>
          </a:extLst>
        </xdr:cNvPr>
        <xdr:cNvGrpSpPr>
          <a:grpSpLocks/>
        </xdr:cNvGrpSpPr>
      </xdr:nvGrpSpPr>
      <xdr:grpSpPr bwMode="auto">
        <a:xfrm>
          <a:off x="3908714" y="2184977"/>
          <a:ext cx="3468831" cy="2206544"/>
          <a:chOff x="410" y="229"/>
          <a:chExt cx="366" cy="231"/>
        </a:xfrm>
      </xdr:grpSpPr>
      <xdr:graphicFrame macro="">
        <xdr:nvGraphicFramePr>
          <xdr:cNvPr id="5477390" name="Chart 31">
            <a:extLst>
              <a:ext uri="{FF2B5EF4-FFF2-40B4-BE49-F238E27FC236}">
                <a16:creationId xmlns:a16="http://schemas.microsoft.com/office/drawing/2014/main" id="{00000000-0008-0000-0400-00000E9453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a:extLst>
              <a:ext uri="{FF2B5EF4-FFF2-40B4-BE49-F238E27FC236}">
                <a16:creationId xmlns:a16="http://schemas.microsoft.com/office/drawing/2014/main" id="{00000000-0008-0000-0400-00000F945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a:extLst>
            <a:ext uri="{FF2B5EF4-FFF2-40B4-BE49-F238E27FC236}">
              <a16:creationId xmlns:a16="http://schemas.microsoft.com/office/drawing/2014/main" id="{00000000-0008-0000-0400-00000B945300}"/>
            </a:ext>
          </a:extLst>
        </xdr:cNvPr>
        <xdr:cNvGrpSpPr>
          <a:grpSpLocks/>
        </xdr:cNvGrpSpPr>
      </xdr:nvGrpSpPr>
      <xdr:grpSpPr bwMode="auto">
        <a:xfrm>
          <a:off x="0" y="4814455"/>
          <a:ext cx="3870614" cy="2339949"/>
          <a:chOff x="0" y="505"/>
          <a:chExt cx="407" cy="245"/>
        </a:xfrm>
      </xdr:grpSpPr>
      <xdr:graphicFrame macro="">
        <xdr:nvGraphicFramePr>
          <xdr:cNvPr id="5477388" name="Chart 34">
            <a:extLst>
              <a:ext uri="{FF2B5EF4-FFF2-40B4-BE49-F238E27FC236}">
                <a16:creationId xmlns:a16="http://schemas.microsoft.com/office/drawing/2014/main" id="{00000000-0008-0000-0400-00000C9453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a:extLst>
              <a:ext uri="{FF2B5EF4-FFF2-40B4-BE49-F238E27FC236}">
                <a16:creationId xmlns:a16="http://schemas.microsoft.com/office/drawing/2014/main" id="{00000000-0008-0000-0400-00000D945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a:extLst>
            <a:ext uri="{FF2B5EF4-FFF2-40B4-BE49-F238E27FC236}">
              <a16:creationId xmlns:a16="http://schemas.microsoft.com/office/drawing/2014/main" id="{00000000-0008-0000-0500-000006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a:extLst>
            <a:ext uri="{FF2B5EF4-FFF2-40B4-BE49-F238E27FC236}">
              <a16:creationId xmlns:a16="http://schemas.microsoft.com/office/drawing/2014/main" id="{00000000-0008-0000-0500-000007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a:extLst>
            <a:ext uri="{FF2B5EF4-FFF2-40B4-BE49-F238E27FC236}">
              <a16:creationId xmlns:a16="http://schemas.microsoft.com/office/drawing/2014/main" id="{00000000-0008-0000-0500-000008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a:extLst>
            <a:ext uri="{FF2B5EF4-FFF2-40B4-BE49-F238E27FC236}">
              <a16:creationId xmlns:a16="http://schemas.microsoft.com/office/drawing/2014/main" id="{00000000-0008-0000-0500-000009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a:extLst>
            <a:ext uri="{FF2B5EF4-FFF2-40B4-BE49-F238E27FC236}">
              <a16:creationId xmlns:a16="http://schemas.microsoft.com/office/drawing/2014/main" id="{00000000-0008-0000-0500-00000A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a:extLst>
            <a:ext uri="{FF2B5EF4-FFF2-40B4-BE49-F238E27FC236}">
              <a16:creationId xmlns:a16="http://schemas.microsoft.com/office/drawing/2014/main" id="{00000000-0008-0000-0600-000004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a:extLst>
            <a:ext uri="{FF2B5EF4-FFF2-40B4-BE49-F238E27FC236}">
              <a16:creationId xmlns:a16="http://schemas.microsoft.com/office/drawing/2014/main" id="{00000000-0008-0000-0600-000006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a:extLst>
            <a:ext uri="{FF2B5EF4-FFF2-40B4-BE49-F238E27FC236}">
              <a16:creationId xmlns:a16="http://schemas.microsoft.com/office/drawing/2014/main" id="{00000000-0008-0000-0600-000007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a:extLst>
            <a:ext uri="{FF2B5EF4-FFF2-40B4-BE49-F238E27FC236}">
              <a16:creationId xmlns:a16="http://schemas.microsoft.com/office/drawing/2014/main" id="{00000000-0008-0000-0700-00008D524A00}"/>
            </a:ext>
          </a:extLst>
        </xdr:cNvPr>
        <xdr:cNvGrpSpPr>
          <a:grpSpLocks/>
        </xdr:cNvGrpSpPr>
      </xdr:nvGrpSpPr>
      <xdr:grpSpPr bwMode="auto">
        <a:xfrm>
          <a:off x="6350000" y="5021385"/>
          <a:ext cx="101600" cy="0"/>
          <a:chOff x="595" y="540"/>
          <a:chExt cx="9" cy="9"/>
        </a:xfrm>
      </xdr:grpSpPr>
      <xdr:sp macro="" textlink="">
        <xdr:nvSpPr>
          <xdr:cNvPr id="4870808" name="Rectangle 11">
            <a:extLst>
              <a:ext uri="{FF2B5EF4-FFF2-40B4-BE49-F238E27FC236}">
                <a16:creationId xmlns:a16="http://schemas.microsoft.com/office/drawing/2014/main" id="{00000000-0008-0000-0700-000098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a:extLst>
              <a:ext uri="{FF2B5EF4-FFF2-40B4-BE49-F238E27FC236}">
                <a16:creationId xmlns:a16="http://schemas.microsoft.com/office/drawing/2014/main" id="{00000000-0008-0000-0700-000099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a:extLst>
            <a:ext uri="{FF2B5EF4-FFF2-40B4-BE49-F238E27FC236}">
              <a16:creationId xmlns:a16="http://schemas.microsoft.com/office/drawing/2014/main" id="{00000000-0008-0000-0700-00008E524A00}"/>
            </a:ext>
          </a:extLst>
        </xdr:cNvPr>
        <xdr:cNvGrpSpPr>
          <a:grpSpLocks/>
        </xdr:cNvGrpSpPr>
      </xdr:nvGrpSpPr>
      <xdr:grpSpPr bwMode="auto">
        <a:xfrm>
          <a:off x="7467600" y="5021385"/>
          <a:ext cx="106485" cy="0"/>
          <a:chOff x="698" y="540"/>
          <a:chExt cx="9" cy="9"/>
        </a:xfrm>
      </xdr:grpSpPr>
      <xdr:sp macro="" textlink="">
        <xdr:nvSpPr>
          <xdr:cNvPr id="4870806" name="Rectangle 47">
            <a:extLst>
              <a:ext uri="{FF2B5EF4-FFF2-40B4-BE49-F238E27FC236}">
                <a16:creationId xmlns:a16="http://schemas.microsoft.com/office/drawing/2014/main" id="{00000000-0008-0000-0700-000096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a:extLst>
              <a:ext uri="{FF2B5EF4-FFF2-40B4-BE49-F238E27FC236}">
                <a16:creationId xmlns:a16="http://schemas.microsoft.com/office/drawing/2014/main" id="{00000000-0008-0000-0700-000097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a:extLst>
            <a:ext uri="{FF2B5EF4-FFF2-40B4-BE49-F238E27FC236}">
              <a16:creationId xmlns:a16="http://schemas.microsoft.com/office/drawing/2014/main" id="{00000000-0008-0000-0700-00008F524A00}"/>
            </a:ext>
          </a:extLst>
        </xdr:cNvPr>
        <xdr:cNvGrpSpPr>
          <a:grpSpLocks/>
        </xdr:cNvGrpSpPr>
      </xdr:nvGrpSpPr>
      <xdr:grpSpPr bwMode="auto">
        <a:xfrm>
          <a:off x="5920154" y="5021385"/>
          <a:ext cx="97692" cy="0"/>
          <a:chOff x="698" y="540"/>
          <a:chExt cx="9" cy="9"/>
        </a:xfrm>
      </xdr:grpSpPr>
      <xdr:sp macro="" textlink="">
        <xdr:nvSpPr>
          <xdr:cNvPr id="4870804" name="Rectangle 47">
            <a:extLst>
              <a:ext uri="{FF2B5EF4-FFF2-40B4-BE49-F238E27FC236}">
                <a16:creationId xmlns:a16="http://schemas.microsoft.com/office/drawing/2014/main" id="{00000000-0008-0000-0700-000094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a:extLst>
              <a:ext uri="{FF2B5EF4-FFF2-40B4-BE49-F238E27FC236}">
                <a16:creationId xmlns:a16="http://schemas.microsoft.com/office/drawing/2014/main" id="{00000000-0008-0000-0700-000095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a:extLst>
            <a:ext uri="{FF2B5EF4-FFF2-40B4-BE49-F238E27FC236}">
              <a16:creationId xmlns:a16="http://schemas.microsoft.com/office/drawing/2014/main" id="{00000000-0008-0000-0700-000090524A00}"/>
            </a:ext>
          </a:extLst>
        </xdr:cNvPr>
        <xdr:cNvGrpSpPr>
          <a:grpSpLocks/>
        </xdr:cNvGrpSpPr>
      </xdr:nvGrpSpPr>
      <xdr:grpSpPr bwMode="auto">
        <a:xfrm>
          <a:off x="1651000" y="5021385"/>
          <a:ext cx="101600" cy="0"/>
          <a:chOff x="595" y="540"/>
          <a:chExt cx="9" cy="9"/>
        </a:xfrm>
      </xdr:grpSpPr>
      <xdr:sp macro="" textlink="">
        <xdr:nvSpPr>
          <xdr:cNvPr id="4870802" name="Rectangle 11">
            <a:extLst>
              <a:ext uri="{FF2B5EF4-FFF2-40B4-BE49-F238E27FC236}">
                <a16:creationId xmlns:a16="http://schemas.microsoft.com/office/drawing/2014/main" id="{00000000-0008-0000-0700-000092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a:extLst>
              <a:ext uri="{FF2B5EF4-FFF2-40B4-BE49-F238E27FC236}">
                <a16:creationId xmlns:a16="http://schemas.microsoft.com/office/drawing/2014/main" id="{00000000-0008-0000-0700-000093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a:extLst>
            <a:ext uri="{FF2B5EF4-FFF2-40B4-BE49-F238E27FC236}">
              <a16:creationId xmlns:a16="http://schemas.microsoft.com/office/drawing/2014/main" id="{00000000-0008-0000-0800-0000D88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9" connectionId="0">
    <xmlCellPr id="1" uniqueName="1">
      <xmlPr mapId="43" xpath="/ns1:Root/ns1:F2/ns1:_Cumulative_Budget__in___" xmlDataType="string"/>
    </xmlCellPr>
  </singleXmlCell>
  <singleXmlCell id="475" r="D49" connectionId="0">
    <xmlCellPr id="1" uniqueName="1">
      <xmlPr mapId="43" xpath="/ns1:Root/ns1:F2/ns1:_Cumulative_Expenditures__in___" xmlDataType="string"/>
    </xmlCellPr>
  </singleXmlCell>
  <singleXmlCell id="476" r="C55" connectionId="0">
    <xmlCellPr id="1" uniqueName="1">
      <xmlPr mapId="43" xpath="/ns1:Root/ns1:F3/ns1:Disbursed_by_Global_Fund_Prior_to_reporting_period__in___" xmlDataType="double"/>
    </xmlCellPr>
  </singleXmlCell>
  <singleXmlCell id="477" r="D55" connectionId="0">
    <xmlCellPr id="1" uniqueName="1">
      <xmlPr mapId="43" xpath="/ns1:Root/ns1:F3/ns1:Disbursed_by_Global_Fund_Reporting_period__in___" xmlDataType="double"/>
    </xmlCellPr>
  </singleXmlCell>
  <singleXmlCell id="478" r="C56" connectionId="0">
    <xmlCellPr id="1" uniqueName="1">
      <xmlPr mapId="43" xpath="/ns1:Root/ns1:F3/ns1:PR_expenditure_and_disbursement_Prior_to_reporting_period__in___" xmlDataType="double"/>
    </xmlCellPr>
  </singleXmlCell>
  <singleXmlCell id="479" r="D56" connectionId="0">
    <xmlCellPr id="1" uniqueName="1">
      <xmlPr mapId="43" xpath="/ns1:Root/ns1:F3/ns1:PR_expenditure_and_disbursement_Reporting_period__in___" xmlDataType="double"/>
    </xmlCellPr>
  </singleXmlCell>
  <singleXmlCell id="480" r="C57" connectionId="0">
    <xmlCellPr id="1" uniqueName="1">
      <xmlPr mapId="43" xpath="/ns1:Root/ns1:F3/ns1:Disbursed_to_SRs_Prior_to_reporting_period__in___" xmlDataType="double"/>
    </xmlCellPr>
  </singleXmlCell>
  <singleXmlCell id="481" r="D57" connectionId="0">
    <xmlCellPr id="1" uniqueName="1">
      <xmlPr mapId="43" xpath="/ns1:Root/ns1:F3/ns1:Disbursed_to_SRs_Reporting_period__in___" xmlDataType="double"/>
    </xmlCellPr>
  </singleXmlCell>
  <singleXmlCell id="482" r="C58" connectionId="0">
    <xmlCellPr id="1" uniqueName="1">
      <xmlPr mapId="43" xpath="/ns1:Root/ns1:F3/ns1:SR_expenditures_Prior_to_reporting_period__in___" xmlDataType="double"/>
    </xmlCellPr>
  </singleXmlCell>
  <singleXmlCell id="483" r="D58" connectionId="0">
    <xmlCellPr id="1" uniqueName="1">
      <xmlPr mapId="43" xpath="/ns1:Root/ns1:F3/ns1:SR_expenditures_Reporting_period__in___" xmlDataType="double"/>
    </xmlCellPr>
  </singleXmlCell>
  <singleXmlCell id="484" r="C65" connectionId="0">
    <xmlCellPr id="1" uniqueName="1">
      <xmlPr mapId="43" xpath="/ns1:Root/ns1:F4/ns1:Days_taken_to_submit_acceptable_PU_DR_to_LFA_Expected__days_" xmlDataType="double"/>
    </xmlCellPr>
  </singleXmlCell>
  <singleXmlCell id="485" r="D65" connectionId="0">
    <xmlCellPr id="1" uniqueName="1">
      <xmlPr mapId="43" xpath="/ns1:Root/ns1:F4/ns1:Days_taken_to_submit_acceptable_PU_DR_to_LFA_Actual__days_" xmlDataType="double"/>
    </xmlCellPr>
  </singleXmlCell>
  <singleXmlCell id="486" r="C66" connectionId="0">
    <xmlCellPr id="1" uniqueName="1">
      <xmlPr mapId="43" xpath="/ns1:Root/ns1:F4/ns1:Days_taken_for_disbursement_to_reach_PR_Expected__days_" xmlDataType="double"/>
    </xmlCellPr>
  </singleXmlCell>
  <singleXmlCell id="487" r="D66" connectionId="0">
    <xmlCellPr id="1" uniqueName="1">
      <xmlPr mapId="43" xpath="/ns1:Root/ns1:F4/ns1:Days_taken_for_disbursement_to_reach_PR_Actual__days_" xmlDataType="double"/>
    </xmlCellPr>
  </singleXmlCell>
  <singleXmlCell id="488" r="C67" connectionId="0">
    <xmlCellPr id="1" uniqueName="1">
      <xmlPr mapId="43" xpath="/ns1:Root/ns1:F4/ns1:Days_taken_for_disbursement_to_reach_SRs__Expected__days_" xmlDataType="double"/>
    </xmlCellPr>
  </singleXmlCell>
  <singleXmlCell id="489" r="D67" connectionId="0">
    <xmlCellPr id="1" uniqueName="1">
      <xmlPr mapId="43" xpath="/ns1:Root/ns1:F4/ns1:Days_taken_for_disbursement_to_reach_SRs__Actual__days_" xmlDataType="double"/>
    </xmlCellPr>
  </singleXmlCell>
  <singleXmlCell id="490" r="B75" connectionId="0">
    <xmlCellPr id="1" uniqueName="1">
      <xmlPr mapId="43" xpath="/ns1:Root/ns1:M1/ns1:Conditions_precedents__CPs__" xmlDataType="string"/>
    </xmlCellPr>
  </singleXmlCell>
  <singleXmlCell id="491" r="D75" connectionId="0">
    <xmlCellPr id="1" uniqueName="1">
      <xmlPr mapId="43" xpath="/ns1:Root/ns1:M1/ns1:Conditions_precedents__CPs__Fulfilled" xmlDataType="double"/>
    </xmlCellPr>
  </singleXmlCell>
  <singleXmlCell id="492" r="E75" connectionId="0">
    <xmlCellPr id="1" uniqueName="1">
      <xmlPr mapId="43" xpath="/ns1:Root/ns1:M1/ns1:Conditions_precedents__CPs__Not_fulfilled__but_within_deadline" xmlDataType="double"/>
    </xmlCellPr>
  </singleXmlCell>
  <singleXmlCell id="493" r="F75" connectionId="0">
    <xmlCellPr id="1" uniqueName="1">
      <xmlPr mapId="43" xpath="/ns1:Root/ns1:M1/ns1:Conditions_precedents__CPs__Not_fulfilled__and_past_the_deadline" xmlDataType="double"/>
    </xmlCellPr>
  </singleXmlCell>
  <singleXmlCell id="494" r="B76" connectionId="0">
    <xmlCellPr id="1" uniqueName="1">
      <xmlPr mapId="43" xpath="/ns1:Root/ns1:M1/ns1:Time_Bound_Actions__TBAs__" xmlDataType="string"/>
    </xmlCellPr>
  </singleXmlCell>
  <singleXmlCell id="495" r="D76" connectionId="0">
    <xmlCellPr id="1" uniqueName="1">
      <xmlPr mapId="43" xpath="/ns1:Root/ns1:M1/ns1:Time_Bound_Actions__TBAs__Fulfilled" xmlDataType="double"/>
    </xmlCellPr>
  </singleXmlCell>
  <singleXmlCell id="496" r="E76" connectionId="0">
    <xmlCellPr id="1" uniqueName="1">
      <xmlPr mapId="43" xpath="/ns1:Root/ns1:M1/ns1:Time_Bound_Actions__TBAs__Not_fulfilled__but_within_deadline" xmlDataType="string"/>
    </xmlCellPr>
  </singleXmlCell>
  <singleXmlCell id="497" r="F76" connectionId="0">
    <xmlCellPr id="1" uniqueName="1">
      <xmlPr mapId="43" xpath="/ns1:Root/ns1:M1/ns1:Time_Bound_Actions__TBAs__Not_fulfilled__and_past_the_deadline" xmlDataType="double"/>
    </xmlCellPr>
  </singleXmlCell>
  <singleXmlCell id="498" r="C82" connectionId="0">
    <xmlCellPr id="1" uniqueName="1">
      <xmlPr mapId="43" xpath="/ns1:Root/ns1:M2/ns1:PMU_Planned" xmlDataType="double"/>
    </xmlCellPr>
  </singleXmlCell>
  <singleXmlCell id="499" r="D82" connectionId="0">
    <xmlCellPr id="1" uniqueName="1">
      <xmlPr mapId="43" xpath="/ns1:Root/ns1:M2/ns1:PMU_Filled" xmlDataType="double"/>
    </xmlCellPr>
  </singleXmlCell>
  <singleXmlCell id="500" r="C87" connectionId="0">
    <xmlCellPr id="1" uniqueName="1">
      <xmlPr mapId="43" xpath="/ns1:Root/ns1:M3/ns1:SRs_Identified" xmlDataType="double"/>
    </xmlCellPr>
  </singleXmlCell>
  <singleXmlCell id="501" r="D87" connectionId="0">
    <xmlCellPr id="1" uniqueName="1">
      <xmlPr mapId="43" xpath="/ns1:Root/ns1:M3/ns1:SRs_Assessed" xmlDataType="double"/>
    </xmlCellPr>
  </singleXmlCell>
  <singleXmlCell id="502" r="E87" connectionId="0">
    <xmlCellPr id="1" uniqueName="1">
      <xmlPr mapId="43" xpath="/ns1:Root/ns1:M3/ns1:SRs_Approved" xmlDataType="double"/>
    </xmlCellPr>
  </singleXmlCell>
  <singleXmlCell id="503" r="F87" connectionId="0">
    <xmlCellPr id="1" uniqueName="1">
      <xmlPr mapId="43" xpath="/ns1:Root/ns1:M3/ns1:SRs_Signed" xmlDataType="double"/>
    </xmlCellPr>
  </singleXmlCell>
  <singleXmlCell id="504" r="G87" connectionId="0">
    <xmlCellPr id="1" uniqueName="1">
      <xmlPr mapId="43" xpath="/ns1:Root/ns1:M3/ns1:SRs_Receiving_Funding" xmlDataType="double"/>
    </xmlCellPr>
  </singleXmlCell>
  <singleXmlCell id="506" r="C92" connectionId="0">
    <xmlCellPr id="1" uniqueName="1">
      <xmlPr mapId="43" xpath="/ns1:Root/ns1:M4/ns1:SSR_to_SR__IR_____Expected" xmlDataType="string"/>
    </xmlCellPr>
  </singleXmlCell>
  <singleXmlCell id="507" r="D92" connectionId="0">
    <xmlCellPr id="1" uniqueName="1">
      <xmlPr mapId="43" xpath="/ns1:Root/ns1:M4/ns1:SSR_to_SR__IR____Received" xmlDataType="string"/>
    </xmlCellPr>
  </singleXmlCell>
  <singleXmlCell id="509" r="C93" connectionId="0">
    <xmlCellPr id="1" uniqueName="1">
      <xmlPr mapId="43" xpath="/ns1:Root/ns1:M4/ns1:SRs__IRs__to_PR____Expected" xmlDataType="double"/>
    </xmlCellPr>
  </singleXmlCell>
  <singleXmlCell id="510" r="D93" connectionId="0">
    <xmlCellPr id="1" uniqueName="1">
      <xmlPr mapId="43" xpath="/ns1:Root/ns1:M4/ns1:SRs__IRs__to_PR___Received" xmlDataType="double"/>
    </xmlCellPr>
  </singleXmlCell>
  <singleXmlCell id="511" r="C98" connectionId="0">
    <xmlCellPr id="1" uniqueName="1">
      <xmlPr mapId="43" xpath="/ns1:Root/ns1:M5/ns1:Budget_Approved__P1" xmlDataType="double"/>
    </xmlCellPr>
  </singleXmlCell>
  <singleXmlCell id="512" r="D98" connectionId="0">
    <xmlCellPr id="1" uniqueName="1">
      <xmlPr mapId="43" xpath="/ns1:Root/ns1:M5/ns1:Budget_Approved__P2" xmlDataType="double"/>
    </xmlCellPr>
  </singleXmlCell>
  <singleXmlCell id="513" r="E98" connectionId="0">
    <xmlCellPr id="1" uniqueName="1">
      <xmlPr mapId="43" xpath="/ns1:Root/ns1:M5/ns1:Budget_Approved__P3" xmlDataType="double"/>
    </xmlCellPr>
  </singleXmlCell>
  <singleXmlCell id="514" r="F98" connectionId="0">
    <xmlCellPr id="1" uniqueName="1">
      <xmlPr mapId="43" xpath="/ns1:Root/ns1:M5/ns1:Budget_Approved__P4" xmlDataType="double"/>
    </xmlCellPr>
  </singleXmlCell>
  <singleXmlCell id="515" r="G98" connectionId="0">
    <xmlCellPr id="1" uniqueName="1">
      <xmlPr mapId="43" xpath="/ns1:Root/ns1:M5/ns1:Budget_Approved__P5" xmlDataType="double"/>
    </xmlCellPr>
  </singleXmlCell>
  <singleXmlCell id="516" r="H98" connectionId="0">
    <xmlCellPr id="1" uniqueName="1">
      <xmlPr mapId="43" xpath="/ns1:Root/ns1:M5/ns1:Budget_Approved__P6" xmlDataType="double"/>
    </xmlCellPr>
  </singleXmlCell>
  <singleXmlCell id="517" r="I98" connectionId="0">
    <xmlCellPr id="1" uniqueName="1">
      <xmlPr mapId="43" xpath="/ns1:Root/ns1:M5/ns1:Budget_Approved__P7" xmlDataType="double"/>
    </xmlCellPr>
  </singleXmlCell>
  <singleXmlCell id="518" r="J98" connectionId="0">
    <xmlCellPr id="1" uniqueName="1">
      <xmlPr mapId="43" xpath="/ns1:Root/ns1:M5/ns1:Budget_Approved__P8" xmlDataType="double"/>
    </xmlCellPr>
  </singleXmlCell>
  <singleXmlCell id="519" r="K98" connectionId="0">
    <xmlCellPr id="1" uniqueName="1">
      <xmlPr mapId="43" xpath="/ns1:Root/ns1:M5/ns1:Budget_Approved__P9" xmlDataType="double"/>
    </xmlCellPr>
  </singleXmlCell>
  <singleXmlCell id="520" r="L98" connectionId="0">
    <xmlCellPr id="1" uniqueName="1">
      <xmlPr mapId="43" xpath="/ns1:Root/ns1:M5/ns1:Budget_Approved__P10" xmlDataType="double"/>
    </xmlCellPr>
  </singleXmlCell>
  <singleXmlCell id="521" r="M98" connectionId="0">
    <xmlCellPr id="1" uniqueName="1">
      <xmlPr mapId="43" xpath="/ns1:Root/ns1:M5/ns1:Budget_Approved__P11" xmlDataType="double"/>
    </xmlCellPr>
  </singleXmlCell>
  <singleXmlCell id="522" r="N98" connectionId="0">
    <xmlCellPr id="1" uniqueName="1">
      <xmlPr mapId="43" xpath="/ns1:Root/ns1:M5/ns1:Budget_Approved__P12" xmlDataType="double"/>
    </xmlCellPr>
  </singleXmlCell>
  <singleXmlCell id="523" r="C99" connectionId="0">
    <xmlCellPr id="1" uniqueName="1">
      <xmlPr mapId="43" xpath="/ns1:Root/ns1:M5/ns1:Obligations_P1" xmlDataType="double"/>
    </xmlCellPr>
  </singleXmlCell>
  <singleXmlCell id="524" r="D99" connectionId="0">
    <xmlCellPr id="1" uniqueName="1">
      <xmlPr mapId="43" xpath="/ns1:Root/ns1:M5/ns1:Obligations_P2" xmlDataType="double"/>
    </xmlCellPr>
  </singleXmlCell>
  <singleXmlCell id="525" r="E99" connectionId="0">
    <xmlCellPr id="1" uniqueName="1">
      <xmlPr mapId="43" xpath="/ns1:Root/ns1:M5/ns1:Obligations_P3" xmlDataType="double"/>
    </xmlCellPr>
  </singleXmlCell>
  <singleXmlCell id="526" r="F99" connectionId="0">
    <xmlCellPr id="1" uniqueName="1">
      <xmlPr mapId="43" xpath="/ns1:Root/ns1:M5/ns1:Obligations_P4" xmlDataType="double"/>
    </xmlCellPr>
  </singleXmlCell>
  <singleXmlCell id="527" r="G99" connectionId="0">
    <xmlCellPr id="1" uniqueName="1">
      <xmlPr mapId="43" xpath="/ns1:Root/ns1:M5/ns1:Obligations_P5" xmlDataType="double"/>
    </xmlCellPr>
  </singleXmlCell>
  <singleXmlCell id="528" r="H99" connectionId="0">
    <xmlCellPr id="1" uniqueName="1">
      <xmlPr mapId="43" xpath="/ns1:Root/ns1:M5/ns1:Obligations_P6" xmlDataType="double"/>
    </xmlCellPr>
  </singleXmlCell>
  <singleXmlCell id="529" r="I99" connectionId="0">
    <xmlCellPr id="1" uniqueName="1">
      <xmlPr mapId="43" xpath="/ns1:Root/ns1:M5/ns1:Obligations_P7" xmlDataType="double"/>
    </xmlCellPr>
  </singleXmlCell>
  <singleXmlCell id="530" r="J99" connectionId="0">
    <xmlCellPr id="1" uniqueName="1">
      <xmlPr mapId="43" xpath="/ns1:Root/ns1:M5/ns1:Obligations_P8" xmlDataType="double"/>
    </xmlCellPr>
  </singleXmlCell>
  <singleXmlCell id="531" r="K99" connectionId="0">
    <xmlCellPr id="1" uniqueName="1">
      <xmlPr mapId="43" xpath="/ns1:Root/ns1:M5/ns1:Obligations_P9" xmlDataType="double"/>
    </xmlCellPr>
  </singleXmlCell>
  <singleXmlCell id="532" r="L99" connectionId="0">
    <xmlCellPr id="1" uniqueName="1">
      <xmlPr mapId="43" xpath="/ns1:Root/ns1:M5/ns1:Obligations_P10" xmlDataType="double"/>
    </xmlCellPr>
  </singleXmlCell>
  <singleXmlCell id="533" r="M99" connectionId="0">
    <xmlCellPr id="1" uniqueName="1">
      <xmlPr mapId="43" xpath="/ns1:Root/ns1:M5/ns1:Obligations_P11" xmlDataType="double"/>
    </xmlCellPr>
  </singleXmlCell>
  <singleXmlCell id="534" r="N99" connectionId="0">
    <xmlCellPr id="1" uniqueName="1">
      <xmlPr mapId="43" xpath="/ns1:Root/ns1:M5/ns1:Obligations_P12" xmlDataType="double"/>
    </xmlCellPr>
  </singleXmlCell>
  <singleXmlCell id="535" r="C100" connectionId="0">
    <xmlCellPr id="1" uniqueName="1">
      <xmlPr mapId="43" xpath="/ns1:Root/ns1:M5/ns1:Expenditures_P1" xmlDataType="double"/>
    </xmlCellPr>
  </singleXmlCell>
  <singleXmlCell id="536" r="D100" connectionId="0">
    <xmlCellPr id="1" uniqueName="1">
      <xmlPr mapId="43" xpath="/ns1:Root/ns1:M5/ns1:Expenditures_P2" xmlDataType="double"/>
    </xmlCellPr>
  </singleXmlCell>
  <singleXmlCell id="537" r="E100" connectionId="0">
    <xmlCellPr id="1" uniqueName="1">
      <xmlPr mapId="43" xpath="/ns1:Root/ns1:M5/ns1:Expenditures_P3" xmlDataType="double"/>
    </xmlCellPr>
  </singleXmlCell>
  <singleXmlCell id="538" r="F100" connectionId="0">
    <xmlCellPr id="1" uniqueName="1">
      <xmlPr mapId="43" xpath="/ns1:Root/ns1:M5/ns1:Expenditures_P4" xmlDataType="double"/>
    </xmlCellPr>
  </singleXmlCell>
  <singleXmlCell id="539" r="G100" connectionId="0">
    <xmlCellPr id="1" uniqueName="1">
      <xmlPr mapId="43" xpath="/ns1:Root/ns1:M5/ns1:Expenditures_P5" xmlDataType="double"/>
    </xmlCellPr>
  </singleXmlCell>
  <singleXmlCell id="540" r="H100" connectionId="0">
    <xmlCellPr id="1" uniqueName="1">
      <xmlPr mapId="43" xpath="/ns1:Root/ns1:M5/ns1:Expenditures_P6" xmlDataType="double"/>
    </xmlCellPr>
  </singleXmlCell>
  <singleXmlCell id="541" r="I100" connectionId="0">
    <xmlCellPr id="1" uniqueName="1">
      <xmlPr mapId="43" xpath="/ns1:Root/ns1:M5/ns1:Expenditures_P7" xmlDataType="double"/>
    </xmlCellPr>
  </singleXmlCell>
  <singleXmlCell id="542" r="J100" connectionId="0">
    <xmlCellPr id="1" uniqueName="1">
      <xmlPr mapId="43" xpath="/ns1:Root/ns1:M5/ns1:Expenditures_P8" xmlDataType="double"/>
    </xmlCellPr>
  </singleXmlCell>
  <singleXmlCell id="543" r="K100" connectionId="0">
    <xmlCellPr id="1" uniqueName="1">
      <xmlPr mapId="43" xpath="/ns1:Root/ns1:M5/ns1:Expenditures_P9" xmlDataType="double"/>
    </xmlCellPr>
  </singleXmlCell>
  <singleXmlCell id="544" r="L100" connectionId="0">
    <xmlCellPr id="1" uniqueName="1">
      <xmlPr mapId="43" xpath="/ns1:Root/ns1:M5/ns1:Expenditures_P10" xmlDataType="double"/>
    </xmlCellPr>
  </singleXmlCell>
  <singleXmlCell id="545" r="M100" connectionId="0">
    <xmlCellPr id="1" uniqueName="1">
      <xmlPr mapId="43" xpath="/ns1:Root/ns1:M5/ns1:Expenditures_P11" xmlDataType="double"/>
    </xmlCellPr>
  </singleXmlCell>
  <singleXmlCell id="546" r="N100" connectionId="0">
    <xmlCellPr id="1" uniqueName="1">
      <xmlPr mapId="43" xpath="/ns1:Root/ns1:M5/ns1:Expenditures_P12" xmlDataType="double"/>
    </xmlCellPr>
  </singleXmlCell>
  <singleXmlCell id="547" r="C111" connectionId="0">
    <xmlCellPr id="1" uniqueName="1">
      <xmlPr mapId="43" xpath="/ns1:Root/ns1:M6/ns1:HIV___AIDS_Products" xmlDataType="string"/>
    </xmlCellPr>
  </singleXmlCell>
  <singleXmlCell id="548" r="D111" connectionId="0">
    <xmlCellPr id="1" uniqueName="1">
      <xmlPr mapId="43" xpath="/ns1:Root/ns1:M6/ns1:HIV___AIDS__1__Number_of_tablets_per_patient_per_day__Review_country_treatment_guidelines_" xmlDataType="double"/>
    </xmlCellPr>
  </singleXmlCell>
  <singleXmlCell id="549" r="F111" connectionId="0">
    <xmlCellPr id="1" uniqueName="1">
      <xmlPr mapId="43" xpath="/ns1:Root/ns1:M6/ns1:HIV___AIDS__3__Total_patients_in_treatment" xmlDataType="double"/>
    </xmlCellPr>
  </singleXmlCell>
  <singleXmlCell id="550" r="H111" connectionId="0">
    <xmlCellPr id="1" uniqueName="1">
      <xmlPr mapId="43" xpath="/ns1:Root/ns1:M6/ns1:HIV___AIDS__5__Current_stock_in_central_warehouse__that_does_not_expire_within_the_next_3_months_" xmlDataType="double"/>
    </xmlCellPr>
  </singleXmlCell>
  <singleXmlCell id="551" r="J111" connectionId="0">
    <xmlCellPr id="1" uniqueName="1">
      <xmlPr mapId="43" xpath="/ns1:Root/ns1:M6/ns1:HIV___AIDS__7__Level_of_safety_stock__expressed_in_months_and_defined_by_country__" xmlDataType="double"/>
    </xmlCellPr>
  </singleXmlCell>
  <singleXmlCell id="552" r="C112" connectionId="0">
    <xmlCellPr id="1" uniqueName="1">
      <xmlPr mapId="43" xpath="/ns1:Root/ns1:M6/ns1:_Products_1" xmlDataType="string"/>
    </xmlCellPr>
  </singleXmlCell>
  <singleXmlCell id="553" r="D112" connectionId="0">
    <xmlCellPr id="1" uniqueName="1">
      <xmlPr mapId="43" xpath="/ns1:Root/ns1:M6/ns1:__1__Number_of_tablets_per_patient_per_day__Review_country_treatment_guidelines__1" xmlDataType="double"/>
    </xmlCellPr>
  </singleXmlCell>
  <singleXmlCell id="554" r="F112" connectionId="0">
    <xmlCellPr id="1" uniqueName="1">
      <xmlPr mapId="43" xpath="/ns1:Root/ns1:M6/ns1:__3__Total_patients_in_treatment_1" xmlDataType="double"/>
    </xmlCellPr>
  </singleXmlCell>
  <singleXmlCell id="555" r="H112" connectionId="0">
    <xmlCellPr id="1" uniqueName="1">
      <xmlPr mapId="43" xpath="/ns1:Root/ns1:M6/ns1:__5__Current_stock_in_central_warehouse__that_does_not_expire_within_the_next_3_months__1" xmlDataType="double"/>
    </xmlCellPr>
  </singleXmlCell>
  <singleXmlCell id="556" r="J112" connectionId="0">
    <xmlCellPr id="1" uniqueName="1">
      <xmlPr mapId="43" xpath="/ns1:Root/ns1:M6/ns1:__7__Level_of_safety_stock__expressed_in_months_and_defined_by_country___1" xmlDataType="double"/>
    </xmlCellPr>
  </singleXmlCell>
  <singleXmlCell id="557" r="C113" connectionId="0">
    <xmlCellPr id="1" uniqueName="1">
      <xmlPr mapId="43" xpath="/ns1:Root/ns1:M6/ns1:_Products_2" xmlDataType="string"/>
    </xmlCellPr>
  </singleXmlCell>
  <singleXmlCell id="558" r="D113" connectionId="0">
    <xmlCellPr id="1" uniqueName="1">
      <xmlPr mapId="43" xpath="/ns1:Root/ns1:M6/ns1:__1__Number_of_tablets_per_patient_per_day__Review_country_treatment_guidelines__2" xmlDataType="double"/>
    </xmlCellPr>
  </singleXmlCell>
  <singleXmlCell id="559" r="F113" connectionId="0">
    <xmlCellPr id="1" uniqueName="1">
      <xmlPr mapId="43" xpath="/ns1:Root/ns1:M6/ns1:__3__Total_patients_in_treatment_2" xmlDataType="double"/>
    </xmlCellPr>
  </singleXmlCell>
  <singleXmlCell id="560" r="H113" connectionId="0">
    <xmlCellPr id="1" uniqueName="1">
      <xmlPr mapId="43" xpath="/ns1:Root/ns1:M6/ns1:__5__Current_stock_in_central_warehouse__that_does_not_expire_within_the_next_3_months__2" xmlDataType="double"/>
    </xmlCellPr>
  </singleXmlCell>
  <singleXmlCell id="561" r="J113" connectionId="0">
    <xmlCellPr id="1" uniqueName="1">
      <xmlPr mapId="43" xpath="/ns1:Root/ns1:M6/ns1:__7__Level_of_safety_stock__expressed_in_months_and_defined_by_country___2" xmlDataType="double"/>
    </xmlCellPr>
  </singleXmlCell>
  <singleXmlCell id="562" r="C114" connectionId="0">
    <xmlCellPr id="1" uniqueName="1">
      <xmlPr mapId="43" xpath="/ns1:Root/ns1:M6/ns1:_Products" xmlDataType="string"/>
    </xmlCellPr>
  </singleXmlCell>
  <singleXmlCell id="563" r="D114" connectionId="0">
    <xmlCellPr id="1" uniqueName="1">
      <xmlPr mapId="43" xpath="/ns1:Root/ns1:M6/ns1:__1__Number_of_tablets_per_patient_per_day__Review_country_treatment_guidelines_" xmlDataType="double"/>
    </xmlCellPr>
  </singleXmlCell>
  <singleXmlCell id="564" r="F114" connectionId="0">
    <xmlCellPr id="1" uniqueName="1">
      <xmlPr mapId="43" xpath="/ns1:Root/ns1:M6/ns1:__3__Total_patients_in_treatment" xmlDataType="double"/>
    </xmlCellPr>
  </singleXmlCell>
  <singleXmlCell id="565" r="H114" connectionId="0">
    <xmlCellPr id="1" uniqueName="1">
      <xmlPr mapId="43" xpath="/ns1:Root/ns1:M6/ns1:__5__Current_stock_in_central_warehouse__that_does_not_expire_within_the_next_3_months_" xmlDataType="double"/>
    </xmlCellPr>
  </singleXmlCell>
  <singleXmlCell id="566" r="J114" connectionId="0">
    <xmlCellPr id="1" uniqueName="1">
      <xmlPr mapId="43" xpath="/ns1:Root/ns1:M6/ns1:__7__Level_of_safety_stock__expressed_in_months_and_defined_by_country__" xmlDataType="double"/>
    </xmlCellPr>
  </singleXmlCell>
  <singleXmlCell id="567" r="H121" connectionId="0">
    <xmlCellPr id="1" uniqueName="1">
      <xmlPr mapId="43" xpath="/ns1:Root/ns1:Prog/ns1:Target_P1_1" xmlDataType="double"/>
    </xmlCellPr>
  </singleXmlCell>
  <singleXmlCell id="568" r="I121" connectionId="0">
    <xmlCellPr id="1" uniqueName="1">
      <xmlPr mapId="43" xpath="/ns1:Root/ns1:Prog/ns1:Target_P2_1" xmlDataType="double"/>
    </xmlCellPr>
  </singleXmlCell>
  <singleXmlCell id="569" r="J121" connectionId="0">
    <xmlCellPr id="1" uniqueName="1">
      <xmlPr mapId="43" xpath="/ns1:Root/ns1:Prog/ns1:Target_P3_1" xmlDataType="double"/>
    </xmlCellPr>
  </singleXmlCell>
  <singleXmlCell id="570" r="K121" connectionId="0">
    <xmlCellPr id="1" uniqueName="1">
      <xmlPr mapId="43" xpath="/ns1:Root/ns1:Prog/ns1:Target_P4_1" xmlDataType="double"/>
    </xmlCellPr>
  </singleXmlCell>
  <singleXmlCell id="571" r="L121" connectionId="0">
    <xmlCellPr id="1" uniqueName="1">
      <xmlPr mapId="43" xpath="/ns1:Root/ns1:Prog/ns1:Target_P5_1" xmlDataType="double"/>
    </xmlCellPr>
  </singleXmlCell>
  <singleXmlCell id="572" r="M121" connectionId="0">
    <xmlCellPr id="1" uniqueName="1">
      <xmlPr mapId="43" xpath="/ns1:Root/ns1:Prog/ns1:Target_P6_1" xmlDataType="double"/>
    </xmlCellPr>
  </singleXmlCell>
  <singleXmlCell id="573" r="N121" connectionId="0">
    <xmlCellPr id="1" uniqueName="1">
      <xmlPr mapId="43" xpath="/ns1:Root/ns1:Prog/ns1:Target_P7_1" xmlDataType="double"/>
    </xmlCellPr>
  </singleXmlCell>
  <singleXmlCell id="574" r="O121" connectionId="0">
    <xmlCellPr id="1" uniqueName="1">
      <xmlPr mapId="43" xpath="/ns1:Root/ns1:Prog/ns1:Target_P8_1" xmlDataType="double"/>
    </xmlCellPr>
  </singleXmlCell>
  <singleXmlCell id="575" r="P121" connectionId="0">
    <xmlCellPr id="1" uniqueName="1">
      <xmlPr mapId="43" xpath="/ns1:Root/ns1:Prog/ns1:Target_P9_1" xmlDataType="double"/>
    </xmlCellPr>
  </singleXmlCell>
  <singleXmlCell id="576" r="Q121" connectionId="0">
    <xmlCellPr id="1" uniqueName="1">
      <xmlPr mapId="43" xpath="/ns1:Root/ns1:Prog/ns1:Target_P10_1" xmlDataType="double"/>
    </xmlCellPr>
  </singleXmlCell>
  <singleXmlCell id="577" r="R121" connectionId="0">
    <xmlCellPr id="1" uniqueName="1">
      <xmlPr mapId="43" xpath="/ns1:Root/ns1:Prog/ns1:Target_P11_1" xmlDataType="double"/>
    </xmlCellPr>
  </singleXmlCell>
  <singleXmlCell id="578" r="S121" connectionId="0">
    <xmlCellPr id="1" uniqueName="1">
      <xmlPr mapId="43" xpath="/ns1:Root/ns1:Prog/ns1:Target_P12_1" xmlDataType="double"/>
    </xmlCellPr>
  </singleXmlCell>
  <singleXmlCell id="579" r="H122" connectionId="0">
    <xmlCellPr id="1" uniqueName="1">
      <xmlPr mapId="43" xpath="/ns1:Root/ns1:Prog/ns1:Achieved__P1_1" xmlDataType="double"/>
    </xmlCellPr>
  </singleXmlCell>
  <singleXmlCell id="580" r="I122" connectionId="0">
    <xmlCellPr id="1" uniqueName="1">
      <xmlPr mapId="43" xpath="/ns1:Root/ns1:Prog/ns1:Achieved__P2_1" xmlDataType="double"/>
    </xmlCellPr>
  </singleXmlCell>
  <singleXmlCell id="581" r="J122" connectionId="0">
    <xmlCellPr id="1" uniqueName="1">
      <xmlPr mapId="43" xpath="/ns1:Root/ns1:Prog/ns1:Achieved__P3_1" xmlDataType="double"/>
    </xmlCellPr>
  </singleXmlCell>
  <singleXmlCell id="582" r="K122" connectionId="0">
    <xmlCellPr id="1" uniqueName="1">
      <xmlPr mapId="43" xpath="/ns1:Root/ns1:Prog/ns1:Achieved__P4_1" xmlDataType="double"/>
    </xmlCellPr>
  </singleXmlCell>
  <singleXmlCell id="583" r="L122" connectionId="0">
    <xmlCellPr id="1" uniqueName="1">
      <xmlPr mapId="43" xpath="/ns1:Root/ns1:Prog/ns1:Achieved__P5_1" xmlDataType="string"/>
    </xmlCellPr>
  </singleXmlCell>
  <singleXmlCell id="584" r="M122" connectionId="0">
    <xmlCellPr id="1" uniqueName="1">
      <xmlPr mapId="43" xpath="/ns1:Root/ns1:Prog/ns1:Achieved__P6_1" xmlDataType="string"/>
    </xmlCellPr>
  </singleXmlCell>
  <singleXmlCell id="585" r="N122" connectionId="0">
    <xmlCellPr id="1" uniqueName="1">
      <xmlPr mapId="43" xpath="/ns1:Root/ns1:Prog/ns1:Achieved__P7_1" xmlDataType="string"/>
    </xmlCellPr>
  </singleXmlCell>
  <singleXmlCell id="586" r="O122" connectionId="0">
    <xmlCellPr id="1" uniqueName="1">
      <xmlPr mapId="43" xpath="/ns1:Root/ns1:Prog/ns1:Achieved__P8_1" xmlDataType="string"/>
    </xmlCellPr>
  </singleXmlCell>
  <singleXmlCell id="587" r="P122" connectionId="0">
    <xmlCellPr id="1" uniqueName="1">
      <xmlPr mapId="43" xpath="/ns1:Root/ns1:Prog/ns1:Achieved__P9_1" xmlDataType="string"/>
    </xmlCellPr>
  </singleXmlCell>
  <singleXmlCell id="588" r="Q122" connectionId="0">
    <xmlCellPr id="1" uniqueName="1">
      <xmlPr mapId="43" xpath="/ns1:Root/ns1:Prog/ns1:Achieved__P10_1" xmlDataType="string"/>
    </xmlCellPr>
  </singleXmlCell>
  <singleXmlCell id="589" r="R122" connectionId="0">
    <xmlCellPr id="1" uniqueName="1">
      <xmlPr mapId="43" xpath="/ns1:Root/ns1:Prog/ns1:Achieved__P11_1" xmlDataType="string"/>
    </xmlCellPr>
  </singleXmlCell>
  <singleXmlCell id="590" r="S122" connectionId="0">
    <xmlCellPr id="1" uniqueName="1">
      <xmlPr mapId="43" xpath="/ns1:Root/ns1:Prog/ns1:Achieved__P12_1" xmlDataType="string"/>
    </xmlCellPr>
  </singleXmlCell>
  <singleXmlCell id="591" r="H123" connectionId="0">
    <xmlCellPr id="1" uniqueName="1">
      <xmlPr mapId="43" xpath="/ns1:Root/ns1:Prog/ns1:Target_P1_2" xmlDataType="double"/>
    </xmlCellPr>
  </singleXmlCell>
  <singleXmlCell id="592" r="I123" connectionId="0">
    <xmlCellPr id="1" uniqueName="1">
      <xmlPr mapId="43" xpath="/ns1:Root/ns1:Prog/ns1:Target_P2_2" xmlDataType="double"/>
    </xmlCellPr>
  </singleXmlCell>
  <singleXmlCell id="593" r="J123" connectionId="0">
    <xmlCellPr id="1" uniqueName="1">
      <xmlPr mapId="43" xpath="/ns1:Root/ns1:Prog/ns1:Target_P3_2" xmlDataType="double"/>
    </xmlCellPr>
  </singleXmlCell>
  <singleXmlCell id="594" r="L123" connectionId="0">
    <xmlCellPr id="1" uniqueName="1">
      <xmlPr mapId="43" xpath="/ns1:Root/ns1:Prog/ns1:Target_P5_2" xmlDataType="double"/>
    </xmlCellPr>
  </singleXmlCell>
  <singleXmlCell id="595" r="M123" connectionId="0">
    <xmlCellPr id="1" uniqueName="1">
      <xmlPr mapId="43" xpath="/ns1:Root/ns1:Prog/ns1:Target_P6_2" xmlDataType="double"/>
    </xmlCellPr>
  </singleXmlCell>
  <singleXmlCell id="596" r="N123" connectionId="0">
    <xmlCellPr id="1" uniqueName="1">
      <xmlPr mapId="43" xpath="/ns1:Root/ns1:Prog/ns1:Target_P7_2" xmlDataType="double"/>
    </xmlCellPr>
  </singleXmlCell>
  <singleXmlCell id="597" r="O123" connectionId="0">
    <xmlCellPr id="1" uniqueName="1">
      <xmlPr mapId="43" xpath="/ns1:Root/ns1:Prog/ns1:Target_P8_2" xmlDataType="double"/>
    </xmlCellPr>
  </singleXmlCell>
  <singleXmlCell id="598" r="P123" connectionId="0">
    <xmlCellPr id="1" uniqueName="1">
      <xmlPr mapId="43" xpath="/ns1:Root/ns1:Prog/ns1:Target_P9_2" xmlDataType="double"/>
    </xmlCellPr>
  </singleXmlCell>
  <singleXmlCell id="599" r="Q123" connectionId="0">
    <xmlCellPr id="1" uniqueName="1">
      <xmlPr mapId="43" xpath="/ns1:Root/ns1:Prog/ns1:Target_P10_2" xmlDataType="double"/>
    </xmlCellPr>
  </singleXmlCell>
  <singleXmlCell id="600" r="R123" connectionId="0">
    <xmlCellPr id="1" uniqueName="1">
      <xmlPr mapId="43" xpath="/ns1:Root/ns1:Prog/ns1:Target_P11_2" xmlDataType="double"/>
    </xmlCellPr>
  </singleXmlCell>
  <singleXmlCell id="601" r="S123" connectionId="0">
    <xmlCellPr id="1" uniqueName="1">
      <xmlPr mapId="43" xpath="/ns1:Root/ns1:Prog/ns1:Target_P12_2" xmlDataType="double"/>
    </xmlCellPr>
  </singleXmlCell>
  <singleXmlCell id="602" r="H124" connectionId="0">
    <xmlCellPr id="1" uniqueName="1">
      <xmlPr mapId="43" xpath="/ns1:Root/ns1:Prog/ns1:Achieved__P1_2" xmlDataType="double"/>
    </xmlCellPr>
  </singleXmlCell>
  <singleXmlCell id="603" r="I124" connectionId="0">
    <xmlCellPr id="1" uniqueName="1">
      <xmlPr mapId="43" xpath="/ns1:Root/ns1:Prog/ns1:Achieved__P2_2" xmlDataType="double"/>
    </xmlCellPr>
  </singleXmlCell>
  <singleXmlCell id="604" r="J124" connectionId="0">
    <xmlCellPr id="1" uniqueName="1">
      <xmlPr mapId="43" xpath="/ns1:Root/ns1:Prog/ns1:Achieved__P3_2" xmlDataType="double"/>
    </xmlCellPr>
  </singleXmlCell>
  <singleXmlCell id="605" r="K124" connectionId="0">
    <xmlCellPr id="1" uniqueName="1">
      <xmlPr mapId="43" xpath="/ns1:Root/ns1:Prog/ns1:Achieved__P4_2" xmlDataType="double"/>
    </xmlCellPr>
  </singleXmlCell>
  <singleXmlCell id="606" r="L124" connectionId="0">
    <xmlCellPr id="1" uniqueName="1">
      <xmlPr mapId="43" xpath="/ns1:Root/ns1:Prog/ns1:Achieved__P5_2" xmlDataType="string"/>
    </xmlCellPr>
  </singleXmlCell>
  <singleXmlCell id="607" r="M124" connectionId="0">
    <xmlCellPr id="1" uniqueName="1">
      <xmlPr mapId="43" xpath="/ns1:Root/ns1:Prog/ns1:Achieved__P6_2" xmlDataType="string"/>
    </xmlCellPr>
  </singleXmlCell>
  <singleXmlCell id="608" r="N124" connectionId="0">
    <xmlCellPr id="1" uniqueName="1">
      <xmlPr mapId="43" xpath="/ns1:Root/ns1:Prog/ns1:Achieved__P7_2" xmlDataType="string"/>
    </xmlCellPr>
  </singleXmlCell>
  <singleXmlCell id="609" r="O124" connectionId="0">
    <xmlCellPr id="1" uniqueName="1">
      <xmlPr mapId="43" xpath="/ns1:Root/ns1:Prog/ns1:Achieved__P8_2" xmlDataType="string"/>
    </xmlCellPr>
  </singleXmlCell>
  <singleXmlCell id="610" r="P124" connectionId="0">
    <xmlCellPr id="1" uniqueName="1">
      <xmlPr mapId="43" xpath="/ns1:Root/ns1:Prog/ns1:Achieved__P9_2" xmlDataType="string"/>
    </xmlCellPr>
  </singleXmlCell>
  <singleXmlCell id="611" r="Q124" connectionId="0">
    <xmlCellPr id="1" uniqueName="1">
      <xmlPr mapId="43" xpath="/ns1:Root/ns1:Prog/ns1:Achieved__P10_2" xmlDataType="string"/>
    </xmlCellPr>
  </singleXmlCell>
  <singleXmlCell id="612" r="R124" connectionId="0">
    <xmlCellPr id="1" uniqueName="1">
      <xmlPr mapId="43" xpath="/ns1:Root/ns1:Prog/ns1:Achieved__P11_2" xmlDataType="string"/>
    </xmlCellPr>
  </singleXmlCell>
  <singleXmlCell id="613" r="S124" connectionId="0">
    <xmlCellPr id="1" uniqueName="1">
      <xmlPr mapId="43" xpath="/ns1:Root/ns1:Prog/ns1:Achieved__P12_2" xmlDataType="string"/>
    </xmlCellPr>
  </singleXmlCell>
  <singleXmlCell id="614" r="H125" connectionId="0">
    <xmlCellPr id="1" uniqueName="1">
      <xmlPr mapId="43" xpath="/ns1:Root/ns1:Prog/ns1:Target_P1_3" xmlDataType="double"/>
    </xmlCellPr>
  </singleXmlCell>
  <singleXmlCell id="615" r="I125" connectionId="0">
    <xmlCellPr id="1" uniqueName="1">
      <xmlPr mapId="43" xpath="/ns1:Root/ns1:Prog/ns1:Target_P2_3" xmlDataType="double"/>
    </xmlCellPr>
  </singleXmlCell>
  <singleXmlCell id="616" r="J125" connectionId="0">
    <xmlCellPr id="1" uniqueName="1">
      <xmlPr mapId="43" xpath="/ns1:Root/ns1:Prog/ns1:Target_P3_3" xmlDataType="double"/>
    </xmlCellPr>
  </singleXmlCell>
  <singleXmlCell id="617" r="K125" connectionId="0">
    <xmlCellPr id="1" uniqueName="1">
      <xmlPr mapId="43" xpath="/ns1:Root/ns1:Prog/ns1:Target_P4_3" xmlDataType="double"/>
    </xmlCellPr>
  </singleXmlCell>
  <singleXmlCell id="618" r="L125" connectionId="0">
    <xmlCellPr id="1" uniqueName="1">
      <xmlPr mapId="43" xpath="/ns1:Root/ns1:Prog/ns1:Target_P5_3" xmlDataType="double"/>
    </xmlCellPr>
  </singleXmlCell>
  <singleXmlCell id="619" r="M125" connectionId="0">
    <xmlCellPr id="1" uniqueName="1">
      <xmlPr mapId="43" xpath="/ns1:Root/ns1:Prog/ns1:Target_P6_3" xmlDataType="double"/>
    </xmlCellPr>
  </singleXmlCell>
  <singleXmlCell id="620" r="N125" connectionId="0">
    <xmlCellPr id="1" uniqueName="1">
      <xmlPr mapId="43" xpath="/ns1:Root/ns1:Prog/ns1:Target_P7_3" xmlDataType="double"/>
    </xmlCellPr>
  </singleXmlCell>
  <singleXmlCell id="621" r="O125" connectionId="0">
    <xmlCellPr id="1" uniqueName="1">
      <xmlPr mapId="43" xpath="/ns1:Root/ns1:Prog/ns1:Target_P8_3" xmlDataType="double"/>
    </xmlCellPr>
  </singleXmlCell>
  <singleXmlCell id="622" r="P125" connectionId="0">
    <xmlCellPr id="1" uniqueName="1">
      <xmlPr mapId="43" xpath="/ns1:Root/ns1:Prog/ns1:Target_P9_3" xmlDataType="double"/>
    </xmlCellPr>
  </singleXmlCell>
  <singleXmlCell id="623" r="Q125" connectionId="0">
    <xmlCellPr id="1" uniqueName="1">
      <xmlPr mapId="43" xpath="/ns1:Root/ns1:Prog/ns1:Target_P10_3" xmlDataType="string"/>
    </xmlCellPr>
  </singleXmlCell>
  <singleXmlCell id="624" r="R125" connectionId="0">
    <xmlCellPr id="1" uniqueName="1">
      <xmlPr mapId="43" xpath="/ns1:Root/ns1:Prog/ns1:Target_P11_3" xmlDataType="string"/>
    </xmlCellPr>
  </singleXmlCell>
  <singleXmlCell id="625" r="S125" connectionId="0">
    <xmlCellPr id="1" uniqueName="1">
      <xmlPr mapId="43" xpath="/ns1:Root/ns1:Prog/ns1:Target_P12_3" xmlDataType="double"/>
    </xmlCellPr>
  </singleXmlCell>
  <singleXmlCell id="626" r="H126" connectionId="0">
    <xmlCellPr id="1" uniqueName="1">
      <xmlPr mapId="43" xpath="/ns1:Root/ns1:Prog/ns1:Achieved__P1_3" xmlDataType="string"/>
    </xmlCellPr>
  </singleXmlCell>
  <singleXmlCell id="627" r="I126" connectionId="0">
    <xmlCellPr id="1" uniqueName="1">
      <xmlPr mapId="43" xpath="/ns1:Root/ns1:Prog/ns1:Achieved__P2_3" xmlDataType="double"/>
    </xmlCellPr>
  </singleXmlCell>
  <singleXmlCell id="628" r="J126" connectionId="0">
    <xmlCellPr id="1" uniqueName="1">
      <xmlPr mapId="43" xpath="/ns1:Root/ns1:Prog/ns1:Achieved__P3_3" xmlDataType="string"/>
    </xmlCellPr>
  </singleXmlCell>
  <singleXmlCell id="629" r="K126" connectionId="0">
    <xmlCellPr id="1" uniqueName="1">
      <xmlPr mapId="43" xpath="/ns1:Root/ns1:Prog/ns1:Achieved__P4_3" xmlDataType="double"/>
    </xmlCellPr>
  </singleXmlCell>
  <singleXmlCell id="630" r="L126" connectionId="0">
    <xmlCellPr id="1" uniqueName="1">
      <xmlPr mapId="43" xpath="/ns1:Root/ns1:Prog/ns1:Achieved__P5_3" xmlDataType="string"/>
    </xmlCellPr>
  </singleXmlCell>
  <singleXmlCell id="631" r="M126" connectionId="0">
    <xmlCellPr id="1" uniqueName="1">
      <xmlPr mapId="43" xpath="/ns1:Root/ns1:Prog/ns1:Achieved__P6_3" xmlDataType="string"/>
    </xmlCellPr>
  </singleXmlCell>
  <singleXmlCell id="632" r="N126" connectionId="0">
    <xmlCellPr id="1" uniqueName="1">
      <xmlPr mapId="43" xpath="/ns1:Root/ns1:Prog/ns1:Achieved__P7_3" xmlDataType="string"/>
    </xmlCellPr>
  </singleXmlCell>
  <singleXmlCell id="633" r="O126" connectionId="0">
    <xmlCellPr id="1" uniqueName="1">
      <xmlPr mapId="43" xpath="/ns1:Root/ns1:Prog/ns1:Achieved__P8_3" xmlDataType="string"/>
    </xmlCellPr>
  </singleXmlCell>
  <singleXmlCell id="634" r="P126" connectionId="0">
    <xmlCellPr id="1" uniqueName="1">
      <xmlPr mapId="43" xpath="/ns1:Root/ns1:Prog/ns1:Achieved__P9_3" xmlDataType="string"/>
    </xmlCellPr>
  </singleXmlCell>
  <singleXmlCell id="635" r="Q126" connectionId="0">
    <xmlCellPr id="1" uniqueName="1">
      <xmlPr mapId="43" xpath="/ns1:Root/ns1:Prog/ns1:Achieved__P10_3" xmlDataType="string"/>
    </xmlCellPr>
  </singleXmlCell>
  <singleXmlCell id="636" r="R126" connectionId="0">
    <xmlCellPr id="1" uniqueName="1">
      <xmlPr mapId="43" xpath="/ns1:Root/ns1:Prog/ns1:Achieved__P11_3" xmlDataType="string"/>
    </xmlCellPr>
  </singleXmlCell>
  <singleXmlCell id="637" r="S126" connectionId="0">
    <xmlCellPr id="1" uniqueName="1">
      <xmlPr mapId="43" xpath="/ns1:Root/ns1:Prog/ns1:Achieved__P12_3" xmlDataType="string"/>
    </xmlCellPr>
  </singleXmlCell>
  <singleXmlCell id="638" r="H127" connectionId="0">
    <xmlCellPr id="1" uniqueName="1">
      <xmlPr mapId="43" xpath="/ns1:Root/ns1:Prog/ns1:Target_P1_4" xmlDataType="string"/>
    </xmlCellPr>
  </singleXmlCell>
  <singleXmlCell id="639" r="I127" connectionId="0">
    <xmlCellPr id="1" uniqueName="1">
      <xmlPr mapId="43" xpath="/ns1:Root/ns1:Prog/ns1:Target_P2_4" xmlDataType="string"/>
    </xmlCellPr>
  </singleXmlCell>
  <singleXmlCell id="640" r="J127" connectionId="0">
    <xmlCellPr id="1" uniqueName="1">
      <xmlPr mapId="43" xpath="/ns1:Root/ns1:Prog/ns1:Target_P3_4" xmlDataType="string"/>
    </xmlCellPr>
  </singleXmlCell>
  <singleXmlCell id="641" r="K127" connectionId="0">
    <xmlCellPr id="1" uniqueName="1">
      <xmlPr mapId="43" xpath="/ns1:Root/ns1:Prog/ns1:Target_P4_4" xmlDataType="double"/>
    </xmlCellPr>
  </singleXmlCell>
  <singleXmlCell id="642" r="L127" connectionId="0">
    <xmlCellPr id="1" uniqueName="1">
      <xmlPr mapId="43" xpath="/ns1:Root/ns1:Prog/ns1:Target_P5_4" xmlDataType="string"/>
    </xmlCellPr>
  </singleXmlCell>
  <singleXmlCell id="643" r="M127" connectionId="0">
    <xmlCellPr id="1" uniqueName="1">
      <xmlPr mapId="43" xpath="/ns1:Root/ns1:Prog/ns1:Target_P6_4" xmlDataType="string"/>
    </xmlCellPr>
  </singleXmlCell>
  <singleXmlCell id="644" r="N127" connectionId="0">
    <xmlCellPr id="1" uniqueName="1">
      <xmlPr mapId="43" xpath="/ns1:Root/ns1:Prog/ns1:Target_P7_4" xmlDataType="string"/>
    </xmlCellPr>
  </singleXmlCell>
  <singleXmlCell id="645" r="O127" connectionId="0">
    <xmlCellPr id="1" uniqueName="1">
      <xmlPr mapId="43" xpath="/ns1:Root/ns1:Prog/ns1:Target_P8_4" xmlDataType="double"/>
    </xmlCellPr>
  </singleXmlCell>
  <singleXmlCell id="646" r="P127" connectionId="0">
    <xmlCellPr id="1" uniqueName="1">
      <xmlPr mapId="43" xpath="/ns1:Root/ns1:Prog/ns1:Target_P9_4" xmlDataType="string"/>
    </xmlCellPr>
  </singleXmlCell>
  <singleXmlCell id="647" r="Q127" connectionId="0">
    <xmlCellPr id="1" uniqueName="1">
      <xmlPr mapId="43" xpath="/ns1:Root/ns1:Prog/ns1:Target_P10_4" xmlDataType="string"/>
    </xmlCellPr>
  </singleXmlCell>
  <singleXmlCell id="648" r="R127" connectionId="0">
    <xmlCellPr id="1" uniqueName="1">
      <xmlPr mapId="43" xpath="/ns1:Root/ns1:Prog/ns1:Target_P11_4" xmlDataType="string"/>
    </xmlCellPr>
  </singleXmlCell>
  <singleXmlCell id="649" r="S127" connectionId="0">
    <xmlCellPr id="1" uniqueName="1">
      <xmlPr mapId="43" xpath="/ns1:Root/ns1:Prog/ns1:Target_P12_4" xmlDataType="double"/>
    </xmlCellPr>
  </singleXmlCell>
  <singleXmlCell id="650" r="H128" connectionId="0">
    <xmlCellPr id="1" uniqueName="1">
      <xmlPr mapId="43" xpath="/ns1:Root/ns1:Prog/ns1:Achieved__P1_4" xmlDataType="string"/>
    </xmlCellPr>
  </singleXmlCell>
  <singleXmlCell id="651" r="I128" connectionId="0">
    <xmlCellPr id="1" uniqueName="1">
      <xmlPr mapId="43" xpath="/ns1:Root/ns1:Prog/ns1:Achieved__P2_4" xmlDataType="string"/>
    </xmlCellPr>
  </singleXmlCell>
  <singleXmlCell id="652" r="J128" connectionId="0">
    <xmlCellPr id="1" uniqueName="1">
      <xmlPr mapId="43" xpath="/ns1:Root/ns1:Prog/ns1:Achieved__P3_4" xmlDataType="string"/>
    </xmlCellPr>
  </singleXmlCell>
  <singleXmlCell id="653" r="K128" connectionId="0">
    <xmlCellPr id="1" uniqueName="1">
      <xmlPr mapId="43" xpath="/ns1:Root/ns1:Prog/ns1:Achieved__P4_4" xmlDataType="double"/>
    </xmlCellPr>
  </singleXmlCell>
  <singleXmlCell id="654" r="L128" connectionId="0">
    <xmlCellPr id="1" uniqueName="1">
      <xmlPr mapId="43" xpath="/ns1:Root/ns1:Prog/ns1:Achieved__P5_4" xmlDataType="string"/>
    </xmlCellPr>
  </singleXmlCell>
  <singleXmlCell id="655" r="M128" connectionId="0">
    <xmlCellPr id="1" uniqueName="1">
      <xmlPr mapId="43" xpath="/ns1:Root/ns1:Prog/ns1:Achieved__P6_4" xmlDataType="string"/>
    </xmlCellPr>
  </singleXmlCell>
  <singleXmlCell id="656" r="N128" connectionId="0">
    <xmlCellPr id="1" uniqueName="1">
      <xmlPr mapId="43" xpath="/ns1:Root/ns1:Prog/ns1:Achieved__P7_4" xmlDataType="string"/>
    </xmlCellPr>
  </singleXmlCell>
  <singleXmlCell id="657" r="O128" connectionId="0">
    <xmlCellPr id="1" uniqueName="1">
      <xmlPr mapId="43" xpath="/ns1:Root/ns1:Prog/ns1:Achieved__P8_4" xmlDataType="string"/>
    </xmlCellPr>
  </singleXmlCell>
  <singleXmlCell id="658" r="P128" connectionId="0">
    <xmlCellPr id="1" uniqueName="1">
      <xmlPr mapId="43" xpath="/ns1:Root/ns1:Prog/ns1:Achieved__P9_4" xmlDataType="string"/>
    </xmlCellPr>
  </singleXmlCell>
  <singleXmlCell id="659" r="Q128" connectionId="0">
    <xmlCellPr id="1" uniqueName="1">
      <xmlPr mapId="43" xpath="/ns1:Root/ns1:Prog/ns1:Achieved__P10_4" xmlDataType="string"/>
    </xmlCellPr>
  </singleXmlCell>
  <singleXmlCell id="660" r="R128" connectionId="0">
    <xmlCellPr id="1" uniqueName="1">
      <xmlPr mapId="43" xpath="/ns1:Root/ns1:Prog/ns1:Achieved__P11_4" xmlDataType="string"/>
    </xmlCellPr>
  </singleXmlCell>
  <singleXmlCell id="661" r="S128" connectionId="0">
    <xmlCellPr id="1" uniqueName="1">
      <xmlPr mapId="43" xpath="/ns1:Root/ns1:Prog/ns1:Achieved__P12_4" xmlDataType="string"/>
    </xmlCellPr>
  </singleXmlCell>
  <singleXmlCell id="662" r="H129" connectionId="0">
    <xmlCellPr id="1" uniqueName="1">
      <xmlPr mapId="43" xpath="/ns1:Root/ns1:Prog/ns1:Target_P1_5" xmlDataType="double"/>
    </xmlCellPr>
  </singleXmlCell>
  <singleXmlCell id="663" r="I129" connectionId="0">
    <xmlCellPr id="1" uniqueName="1">
      <xmlPr mapId="43" xpath="/ns1:Root/ns1:Prog/ns1:Target_P2_5" xmlDataType="double"/>
    </xmlCellPr>
  </singleXmlCell>
  <singleXmlCell id="664" r="J129" connectionId="0">
    <xmlCellPr id="1" uniqueName="1">
      <xmlPr mapId="43" xpath="/ns1:Root/ns1:Prog/ns1:Target_P3_5" xmlDataType="double"/>
    </xmlCellPr>
  </singleXmlCell>
  <singleXmlCell id="665" r="K129" connectionId="0">
    <xmlCellPr id="1" uniqueName="1">
      <xmlPr mapId="43" xpath="/ns1:Root/ns1:Prog/ns1:Target_P4_5" xmlDataType="double"/>
    </xmlCellPr>
  </singleXmlCell>
  <singleXmlCell id="666" r="L129" connectionId="0">
    <xmlCellPr id="1" uniqueName="1">
      <xmlPr mapId="43" xpath="/ns1:Root/ns1:Prog/ns1:Target_P5_5" xmlDataType="double"/>
    </xmlCellPr>
  </singleXmlCell>
  <singleXmlCell id="667" r="M129" connectionId="0">
    <xmlCellPr id="1" uniqueName="1">
      <xmlPr mapId="43" xpath="/ns1:Root/ns1:Prog/ns1:Target_P6_5" xmlDataType="double"/>
    </xmlCellPr>
  </singleXmlCell>
  <singleXmlCell id="668" r="N129" connectionId="0">
    <xmlCellPr id="1" uniqueName="1">
      <xmlPr mapId="43" xpath="/ns1:Root/ns1:Prog/ns1:Target_P7_5" xmlDataType="double"/>
    </xmlCellPr>
  </singleXmlCell>
  <singleXmlCell id="669" r="O129" connectionId="0">
    <xmlCellPr id="1" uniqueName="1">
      <xmlPr mapId="43" xpath="/ns1:Root/ns1:Prog/ns1:Target_P8_5" xmlDataType="double"/>
    </xmlCellPr>
  </singleXmlCell>
  <singleXmlCell id="670" r="P129" connectionId="0">
    <xmlCellPr id="1" uniqueName="1">
      <xmlPr mapId="43" xpath="/ns1:Root/ns1:Prog/ns1:Target_P9_5" xmlDataType="double"/>
    </xmlCellPr>
  </singleXmlCell>
  <singleXmlCell id="671" r="Q129" connectionId="0">
    <xmlCellPr id="1" uniqueName="1">
      <xmlPr mapId="43" xpath="/ns1:Root/ns1:Prog/ns1:Target_P10_5" xmlDataType="double"/>
    </xmlCellPr>
  </singleXmlCell>
  <singleXmlCell id="672" r="R129" connectionId="0">
    <xmlCellPr id="1" uniqueName="1">
      <xmlPr mapId="43" xpath="/ns1:Root/ns1:Prog/ns1:Target_P11_5" xmlDataType="double"/>
    </xmlCellPr>
  </singleXmlCell>
  <singleXmlCell id="673" r="S129" connectionId="0">
    <xmlCellPr id="1" uniqueName="1">
      <xmlPr mapId="43" xpath="/ns1:Root/ns1:Prog/ns1:Target_P12_5" xmlDataType="double"/>
    </xmlCellPr>
  </singleXmlCell>
  <singleXmlCell id="674" r="H130" connectionId="0">
    <xmlCellPr id="1" uniqueName="1">
      <xmlPr mapId="43" xpath="/ns1:Root/ns1:Prog/ns1:Achieved__P1_5" xmlDataType="double"/>
    </xmlCellPr>
  </singleXmlCell>
  <singleXmlCell id="675" r="I130" connectionId="0">
    <xmlCellPr id="1" uniqueName="1">
      <xmlPr mapId="43" xpath="/ns1:Root/ns1:Prog/ns1:Achieved__P2_5" xmlDataType="double"/>
    </xmlCellPr>
  </singleXmlCell>
  <singleXmlCell id="676" r="J130" connectionId="0">
    <xmlCellPr id="1" uniqueName="1">
      <xmlPr mapId="43" xpath="/ns1:Root/ns1:Prog/ns1:Achieved__P3_5" xmlDataType="double"/>
    </xmlCellPr>
  </singleXmlCell>
  <singleXmlCell id="677" r="K130" connectionId="0">
    <xmlCellPr id="1" uniqueName="1">
      <xmlPr mapId="43" xpath="/ns1:Root/ns1:Prog/ns1:Achieved__P4_5" xmlDataType="double"/>
    </xmlCellPr>
  </singleXmlCell>
  <singleXmlCell id="678" r="L130" connectionId="0">
    <xmlCellPr id="1" uniqueName="1">
      <xmlPr mapId="43" xpath="/ns1:Root/ns1:Prog/ns1:Achieved__P5_5" xmlDataType="string"/>
    </xmlCellPr>
  </singleXmlCell>
  <singleXmlCell id="679" r="M130" connectionId="0">
    <xmlCellPr id="1" uniqueName="1">
      <xmlPr mapId="43" xpath="/ns1:Root/ns1:Prog/ns1:Achieved__P6_5" xmlDataType="string"/>
    </xmlCellPr>
  </singleXmlCell>
  <singleXmlCell id="680" r="N130" connectionId="0">
    <xmlCellPr id="1" uniqueName="1">
      <xmlPr mapId="43" xpath="/ns1:Root/ns1:Prog/ns1:Achieved__P7_5" xmlDataType="string"/>
    </xmlCellPr>
  </singleXmlCell>
  <singleXmlCell id="681" r="O130" connectionId="0">
    <xmlCellPr id="1" uniqueName="1">
      <xmlPr mapId="43" xpath="/ns1:Root/ns1:Prog/ns1:Achieved__P8_5" xmlDataType="string"/>
    </xmlCellPr>
  </singleXmlCell>
  <singleXmlCell id="682" r="P130" connectionId="0">
    <xmlCellPr id="1" uniqueName="1">
      <xmlPr mapId="43" xpath="/ns1:Root/ns1:Prog/ns1:Achieved__P9_5" xmlDataType="string"/>
    </xmlCellPr>
  </singleXmlCell>
  <singleXmlCell id="683" r="Q130" connectionId="0">
    <xmlCellPr id="1" uniqueName="1">
      <xmlPr mapId="43" xpath="/ns1:Root/ns1:Prog/ns1:Achieved__P10_5" xmlDataType="string"/>
    </xmlCellPr>
  </singleXmlCell>
  <singleXmlCell id="684" r="R130" connectionId="0">
    <xmlCellPr id="1" uniqueName="1">
      <xmlPr mapId="43" xpath="/ns1:Root/ns1:Prog/ns1:Achieved__P11_5" xmlDataType="string"/>
    </xmlCellPr>
  </singleXmlCell>
  <singleXmlCell id="685" r="S130" connectionId="0">
    <xmlCellPr id="1" uniqueName="1">
      <xmlPr mapId="43" xpath="/ns1:Root/ns1:Prog/ns1:Achieved__P12_5" xmlDataType="string"/>
    </xmlCellPr>
  </singleXmlCell>
  <singleXmlCell id="686" r="H131" connectionId="0">
    <xmlCellPr id="1" uniqueName="1">
      <xmlPr mapId="43" xpath="/ns1:Root/ns1:Prog/ns1:Target_P1_6" xmlDataType="double"/>
    </xmlCellPr>
  </singleXmlCell>
  <singleXmlCell id="687" r="I131" connectionId="0">
    <xmlCellPr id="1" uniqueName="1">
      <xmlPr mapId="43" xpath="/ns1:Root/ns1:Prog/ns1:Target_P2_6" xmlDataType="double"/>
    </xmlCellPr>
  </singleXmlCell>
  <singleXmlCell id="688" r="J131" connectionId="0">
    <xmlCellPr id="1" uniqueName="1">
      <xmlPr mapId="43" xpath="/ns1:Root/ns1:Prog/ns1:Target_P3_6" xmlDataType="double"/>
    </xmlCellPr>
  </singleXmlCell>
  <singleXmlCell id="689" r="K131" connectionId="0">
    <xmlCellPr id="1" uniqueName="1">
      <xmlPr mapId="43" xpath="/ns1:Root/ns1:Prog/ns1:Target_P4_6" xmlDataType="double"/>
    </xmlCellPr>
  </singleXmlCell>
  <singleXmlCell id="690" r="L131" connectionId="0">
    <xmlCellPr id="1" uniqueName="1">
      <xmlPr mapId="43" xpath="/ns1:Root/ns1:Prog/ns1:Target_P5_6" xmlDataType="double"/>
    </xmlCellPr>
  </singleXmlCell>
  <singleXmlCell id="691" r="M131" connectionId="0">
    <xmlCellPr id="1" uniqueName="1">
      <xmlPr mapId="43" xpath="/ns1:Root/ns1:Prog/ns1:Target_P6_6" xmlDataType="double"/>
    </xmlCellPr>
  </singleXmlCell>
  <singleXmlCell id="692" r="N131" connectionId="0">
    <xmlCellPr id="1" uniqueName="1">
      <xmlPr mapId="43" xpath="/ns1:Root/ns1:Prog/ns1:Target_P7_6" xmlDataType="double"/>
    </xmlCellPr>
  </singleXmlCell>
  <singleXmlCell id="693" r="O131" connectionId="0">
    <xmlCellPr id="1" uniqueName="1">
      <xmlPr mapId="43" xpath="/ns1:Root/ns1:Prog/ns1:Target_P8_6" xmlDataType="double"/>
    </xmlCellPr>
  </singleXmlCell>
  <singleXmlCell id="694" r="P131" connectionId="0">
    <xmlCellPr id="1" uniqueName="1">
      <xmlPr mapId="43" xpath="/ns1:Root/ns1:Prog/ns1:Target_P9_6" xmlDataType="double"/>
    </xmlCellPr>
  </singleXmlCell>
  <singleXmlCell id="695" r="Q131" connectionId="0">
    <xmlCellPr id="1" uniqueName="1">
      <xmlPr mapId="43" xpath="/ns1:Root/ns1:Prog/ns1:Target_P10_6" xmlDataType="double"/>
    </xmlCellPr>
  </singleXmlCell>
  <singleXmlCell id="696" r="R131" connectionId="0">
    <xmlCellPr id="1" uniqueName="1">
      <xmlPr mapId="43" xpath="/ns1:Root/ns1:Prog/ns1:Target_P11_6" xmlDataType="double"/>
    </xmlCellPr>
  </singleXmlCell>
  <singleXmlCell id="697" r="S131" connectionId="0">
    <xmlCellPr id="1" uniqueName="1">
      <xmlPr mapId="43" xpath="/ns1:Root/ns1:Prog/ns1:Target_P12_6" xmlDataType="double"/>
    </xmlCellPr>
  </singleXmlCell>
  <singleXmlCell id="698" r="H132" connectionId="0">
    <xmlCellPr id="1" uniqueName="1">
      <xmlPr mapId="43" xpath="/ns1:Root/ns1:Prog/ns1:Achieved__P1_6" xmlDataType="double"/>
    </xmlCellPr>
  </singleXmlCell>
  <singleXmlCell id="699" r="I132" connectionId="0">
    <xmlCellPr id="1" uniqueName="1">
      <xmlPr mapId="43" xpath="/ns1:Root/ns1:Prog/ns1:Achieved__P2_6" xmlDataType="double"/>
    </xmlCellPr>
  </singleXmlCell>
  <singleXmlCell id="700" r="J132" connectionId="0">
    <xmlCellPr id="1" uniqueName="1">
      <xmlPr mapId="43" xpath="/ns1:Root/ns1:Prog/ns1:Achieved__P3_6" xmlDataType="double"/>
    </xmlCellPr>
  </singleXmlCell>
  <singleXmlCell id="701" r="K132" connectionId="0">
    <xmlCellPr id="1" uniqueName="1">
      <xmlPr mapId="43" xpath="/ns1:Root/ns1:Prog/ns1:Achieved__P4_6" xmlDataType="double"/>
    </xmlCellPr>
  </singleXmlCell>
  <singleXmlCell id="702" r="L132" connectionId="0">
    <xmlCellPr id="1" uniqueName="1">
      <xmlPr mapId="43" xpath="/ns1:Root/ns1:Prog/ns1:Achieved__P5_6" xmlDataType="string"/>
    </xmlCellPr>
  </singleXmlCell>
  <singleXmlCell id="703" r="M132" connectionId="0">
    <xmlCellPr id="1" uniqueName="1">
      <xmlPr mapId="43" xpath="/ns1:Root/ns1:Prog/ns1:Achieved__P6_6" xmlDataType="string"/>
    </xmlCellPr>
  </singleXmlCell>
  <singleXmlCell id="704" r="N132" connectionId="0">
    <xmlCellPr id="1" uniqueName="1">
      <xmlPr mapId="43" xpath="/ns1:Root/ns1:Prog/ns1:Achieved__P7_6" xmlDataType="string"/>
    </xmlCellPr>
  </singleXmlCell>
  <singleXmlCell id="705" r="O132" connectionId="0">
    <xmlCellPr id="1" uniqueName="1">
      <xmlPr mapId="43" xpath="/ns1:Root/ns1:Prog/ns1:Achieved__P8_6" xmlDataType="string"/>
    </xmlCellPr>
  </singleXmlCell>
  <singleXmlCell id="706" r="P132" connectionId="0">
    <xmlCellPr id="1" uniqueName="1">
      <xmlPr mapId="43" xpath="/ns1:Root/ns1:Prog/ns1:Achieved__P9_6" xmlDataType="string"/>
    </xmlCellPr>
  </singleXmlCell>
  <singleXmlCell id="707" r="Q132" connectionId="0">
    <xmlCellPr id="1" uniqueName="1">
      <xmlPr mapId="43" xpath="/ns1:Root/ns1:Prog/ns1:Achieved__P10_6" xmlDataType="string"/>
    </xmlCellPr>
  </singleXmlCell>
  <singleXmlCell id="708" r="R132" connectionId="0">
    <xmlCellPr id="1" uniqueName="1">
      <xmlPr mapId="43" xpath="/ns1:Root/ns1:Prog/ns1:Achieved__P11_6" xmlDataType="string"/>
    </xmlCellPr>
  </singleXmlCell>
  <singleXmlCell id="709" r="S132" connectionId="0">
    <xmlCellPr id="1" uniqueName="1">
      <xmlPr mapId="43" xpath="/ns1:Root/ns1:Prog/ns1:Achieved__P12_6" xmlDataType="string"/>
    </xmlCellPr>
  </singleXmlCell>
  <singleXmlCell id="710" r="H133" connectionId="0">
    <xmlCellPr id="1" uniqueName="1">
      <xmlPr mapId="43" xpath="/ns1:Root/ns1:Prog/ns1:Target_P1_7" xmlDataType="double"/>
    </xmlCellPr>
  </singleXmlCell>
  <singleXmlCell id="711" r="I133" connectionId="0">
    <xmlCellPr id="1" uniqueName="1">
      <xmlPr mapId="43" xpath="/ns1:Root/ns1:Prog/ns1:Target_P2_7" xmlDataType="double"/>
    </xmlCellPr>
  </singleXmlCell>
  <singleXmlCell id="712" r="J133" connectionId="0">
    <xmlCellPr id="1" uniqueName="1">
      <xmlPr mapId="43" xpath="/ns1:Root/ns1:Prog/ns1:Target_P3_7" xmlDataType="double"/>
    </xmlCellPr>
  </singleXmlCell>
  <singleXmlCell id="713" r="K133" connectionId="0">
    <xmlCellPr id="1" uniqueName="1">
      <xmlPr mapId="43" xpath="/ns1:Root/ns1:Prog/ns1:Target_P4_7" xmlDataType="double"/>
    </xmlCellPr>
  </singleXmlCell>
  <singleXmlCell id="714" r="L133" connectionId="0">
    <xmlCellPr id="1" uniqueName="1">
      <xmlPr mapId="43" xpath="/ns1:Root/ns1:Prog/ns1:Target_P5_7" xmlDataType="double"/>
    </xmlCellPr>
  </singleXmlCell>
  <singleXmlCell id="715" r="M133" connectionId="0">
    <xmlCellPr id="1" uniqueName="1">
      <xmlPr mapId="43" xpath="/ns1:Root/ns1:Prog/ns1:Target_P6_7" xmlDataType="double"/>
    </xmlCellPr>
  </singleXmlCell>
  <singleXmlCell id="716" r="N133" connectionId="0">
    <xmlCellPr id="1" uniqueName="1">
      <xmlPr mapId="43" xpath="/ns1:Root/ns1:Prog/ns1:Target_P7_7" xmlDataType="double"/>
    </xmlCellPr>
  </singleXmlCell>
  <singleXmlCell id="717" r="O133" connectionId="0">
    <xmlCellPr id="1" uniqueName="1">
      <xmlPr mapId="43" xpath="/ns1:Root/ns1:Prog/ns1:Target_P8_7" xmlDataType="double"/>
    </xmlCellPr>
  </singleXmlCell>
  <singleXmlCell id="718" r="P133" connectionId="0">
    <xmlCellPr id="1" uniqueName="1">
      <xmlPr mapId="43" xpath="/ns1:Root/ns1:Prog/ns1:Target_P9_7" xmlDataType="double"/>
    </xmlCellPr>
  </singleXmlCell>
  <singleXmlCell id="719" r="Q133" connectionId="0">
    <xmlCellPr id="1" uniqueName="1">
      <xmlPr mapId="43" xpath="/ns1:Root/ns1:Prog/ns1:Target_P10_7" xmlDataType="double"/>
    </xmlCellPr>
  </singleXmlCell>
  <singleXmlCell id="720" r="R133" connectionId="0">
    <xmlCellPr id="1" uniqueName="1">
      <xmlPr mapId="43" xpath="/ns1:Root/ns1:Prog/ns1:Target_P11_7" xmlDataType="double"/>
    </xmlCellPr>
  </singleXmlCell>
  <singleXmlCell id="721" r="S133" connectionId="0">
    <xmlCellPr id="1" uniqueName="1">
      <xmlPr mapId="43" xpath="/ns1:Root/ns1:Prog/ns1:Target_P12_7" xmlDataType="double"/>
    </xmlCellPr>
  </singleXmlCell>
  <singleXmlCell id="722" r="H134" connectionId="0">
    <xmlCellPr id="1" uniqueName="1">
      <xmlPr mapId="43" xpath="/ns1:Root/ns1:Prog/ns1:Achieved__P1_7" xmlDataType="double"/>
    </xmlCellPr>
  </singleXmlCell>
  <singleXmlCell id="723" r="I134" connectionId="0">
    <xmlCellPr id="1" uniqueName="1">
      <xmlPr mapId="43" xpath="/ns1:Root/ns1:Prog/ns1:Achieved__P2_7" xmlDataType="double"/>
    </xmlCellPr>
  </singleXmlCell>
  <singleXmlCell id="724" r="J134" connectionId="0">
    <xmlCellPr id="1" uniqueName="1">
      <xmlPr mapId="43" xpath="/ns1:Root/ns1:Prog/ns1:Achieved__P3_7" xmlDataType="double"/>
    </xmlCellPr>
  </singleXmlCell>
  <singleXmlCell id="725" r="K134" connectionId="0">
    <xmlCellPr id="1" uniqueName="1">
      <xmlPr mapId="43" xpath="/ns1:Root/ns1:Prog/ns1:Achieved__P4_7" xmlDataType="double"/>
    </xmlCellPr>
  </singleXmlCell>
  <singleXmlCell id="726" r="L134" connectionId="0">
    <xmlCellPr id="1" uniqueName="1">
      <xmlPr mapId="43" xpath="/ns1:Root/ns1:Prog/ns1:Achieved__P5_7" xmlDataType="string"/>
    </xmlCellPr>
  </singleXmlCell>
  <singleXmlCell id="727" r="M134" connectionId="0">
    <xmlCellPr id="1" uniqueName="1">
      <xmlPr mapId="43" xpath="/ns1:Root/ns1:Prog/ns1:Achieved__P6_7" xmlDataType="string"/>
    </xmlCellPr>
  </singleXmlCell>
  <singleXmlCell id="728" r="N134" connectionId="0">
    <xmlCellPr id="1" uniqueName="1">
      <xmlPr mapId="43" xpath="/ns1:Root/ns1:Prog/ns1:Achieved__P7_7" xmlDataType="string"/>
    </xmlCellPr>
  </singleXmlCell>
  <singleXmlCell id="729" r="O134" connectionId="0">
    <xmlCellPr id="1" uniqueName="1">
      <xmlPr mapId="43" xpath="/ns1:Root/ns1:Prog/ns1:Achieved__P8_7" xmlDataType="string"/>
    </xmlCellPr>
  </singleXmlCell>
  <singleXmlCell id="730" r="P134" connectionId="0">
    <xmlCellPr id="1" uniqueName="1">
      <xmlPr mapId="43" xpath="/ns1:Root/ns1:Prog/ns1:Achieved__P9_7" xmlDataType="string"/>
    </xmlCellPr>
  </singleXmlCell>
  <singleXmlCell id="731" r="Q134" connectionId="0">
    <xmlCellPr id="1" uniqueName="1">
      <xmlPr mapId="43" xpath="/ns1:Root/ns1:Prog/ns1:Achieved__P10_7" xmlDataType="string"/>
    </xmlCellPr>
  </singleXmlCell>
  <singleXmlCell id="732" r="R134" connectionId="0">
    <xmlCellPr id="1" uniqueName="1">
      <xmlPr mapId="43" xpath="/ns1:Root/ns1:Prog/ns1:Achieved__P11_7" xmlDataType="string"/>
    </xmlCellPr>
  </singleXmlCell>
  <singleXmlCell id="733" r="S134" connectionId="0">
    <xmlCellPr id="1" uniqueName="1">
      <xmlPr mapId="43" xpath="/ns1:Root/ns1:Prog/ns1:Achieved__P12_7" xmlDataType="string"/>
    </xmlCellPr>
  </singleXmlCell>
  <singleXmlCell id="734" r="H135" connectionId="0">
    <xmlCellPr id="1" uniqueName="1">
      <xmlPr mapId="43" xpath="/ns1:Root/ns1:Prog/ns1:Target_P1_8" xmlDataType="string"/>
    </xmlCellPr>
  </singleXmlCell>
  <singleXmlCell id="735" r="I135" connectionId="0">
    <xmlCellPr id="1" uniqueName="1">
      <xmlPr mapId="43" xpath="/ns1:Root/ns1:Prog/ns1:Target_P2_8" xmlDataType="double"/>
    </xmlCellPr>
  </singleXmlCell>
  <singleXmlCell id="736" r="J135" connectionId="0">
    <xmlCellPr id="1" uniqueName="1">
      <xmlPr mapId="43" xpath="/ns1:Root/ns1:Prog/ns1:Target_P3_8" xmlDataType="string"/>
    </xmlCellPr>
  </singleXmlCell>
  <singleXmlCell id="737" r="K135" connectionId="0">
    <xmlCellPr id="1" uniqueName="1">
      <xmlPr mapId="43" xpath="/ns1:Root/ns1:Prog/ns1:Target_P4_8" xmlDataType="double"/>
    </xmlCellPr>
  </singleXmlCell>
  <singleXmlCell id="738" r="L135" connectionId="0">
    <xmlCellPr id="1" uniqueName="1">
      <xmlPr mapId="43" xpath="/ns1:Root/ns1:Prog/ns1:Target_P5_8" xmlDataType="string"/>
    </xmlCellPr>
  </singleXmlCell>
  <singleXmlCell id="739" r="M135" connectionId="0">
    <xmlCellPr id="1" uniqueName="1">
      <xmlPr mapId="43" xpath="/ns1:Root/ns1:Prog/ns1:Target_P6_8" xmlDataType="double"/>
    </xmlCellPr>
  </singleXmlCell>
  <singleXmlCell id="740" r="N135" connectionId="0">
    <xmlCellPr id="1" uniqueName="1">
      <xmlPr mapId="43" xpath="/ns1:Root/ns1:Prog/ns1:Target_P7_8" xmlDataType="string"/>
    </xmlCellPr>
  </singleXmlCell>
  <singleXmlCell id="741" r="O135" connectionId="0">
    <xmlCellPr id="1" uniqueName="1">
      <xmlPr mapId="43" xpath="/ns1:Root/ns1:Prog/ns1:Target_P8_8" xmlDataType="double"/>
    </xmlCellPr>
  </singleXmlCell>
  <singleXmlCell id="742" r="P135" connectionId="0">
    <xmlCellPr id="1" uniqueName="1">
      <xmlPr mapId="43" xpath="/ns1:Root/ns1:Prog/ns1:Target_P9_8" xmlDataType="double"/>
    </xmlCellPr>
  </singleXmlCell>
  <singleXmlCell id="743" r="Q135" connectionId="0">
    <xmlCellPr id="1" uniqueName="1">
      <xmlPr mapId="43" xpath="/ns1:Root/ns1:Prog/ns1:Target_P10_8" xmlDataType="double"/>
    </xmlCellPr>
  </singleXmlCell>
  <singleXmlCell id="744" r="R135" connectionId="0">
    <xmlCellPr id="1" uniqueName="1">
      <xmlPr mapId="43" xpath="/ns1:Root/ns1:Prog/ns1:Target_P11_8" xmlDataType="double"/>
    </xmlCellPr>
  </singleXmlCell>
  <singleXmlCell id="745" r="S135" connectionId="0">
    <xmlCellPr id="1" uniqueName="1">
      <xmlPr mapId="43" xpath="/ns1:Root/ns1:Prog/ns1:Target_P12_8" xmlDataType="double"/>
    </xmlCellPr>
  </singleXmlCell>
  <singleXmlCell id="746" r="H136" connectionId="0">
    <xmlCellPr id="1" uniqueName="1">
      <xmlPr mapId="43" xpath="/ns1:Root/ns1:Prog/ns1:Achieved__P1_8" xmlDataType="string"/>
    </xmlCellPr>
  </singleXmlCell>
  <singleXmlCell id="747" r="I136" connectionId="0">
    <xmlCellPr id="1" uniqueName="1">
      <xmlPr mapId="43" xpath="/ns1:Root/ns1:Prog/ns1:Achieved__P2_8" xmlDataType="string"/>
    </xmlCellPr>
  </singleXmlCell>
  <singleXmlCell id="748" r="J136" connectionId="0">
    <xmlCellPr id="1" uniqueName="1">
      <xmlPr mapId="43" xpath="/ns1:Root/ns1:Prog/ns1:Achieved__P3_8" xmlDataType="string"/>
    </xmlCellPr>
  </singleXmlCell>
  <singleXmlCell id="749" r="K136" connectionId="0">
    <xmlCellPr id="1" uniqueName="1">
      <xmlPr mapId="43" xpath="/ns1:Root/ns1:Prog/ns1:Achieved__P4_8" xmlDataType="string"/>
    </xmlCellPr>
  </singleXmlCell>
  <singleXmlCell id="750" r="L136" connectionId="0">
    <xmlCellPr id="1" uniqueName="1">
      <xmlPr mapId="43" xpath="/ns1:Root/ns1:Prog/ns1:Achieved__P5_8" xmlDataType="string"/>
    </xmlCellPr>
  </singleXmlCell>
  <singleXmlCell id="751" r="M136" connectionId="0">
    <xmlCellPr id="1" uniqueName="1">
      <xmlPr mapId="43" xpath="/ns1:Root/ns1:Prog/ns1:Achieved__P6_8" xmlDataType="string"/>
    </xmlCellPr>
  </singleXmlCell>
  <singleXmlCell id="752" r="N136" connectionId="0">
    <xmlCellPr id="1" uniqueName="1">
      <xmlPr mapId="43" xpath="/ns1:Root/ns1:Prog/ns1:Achieved__P7_8" xmlDataType="string"/>
    </xmlCellPr>
  </singleXmlCell>
  <singleXmlCell id="753" r="O136" connectionId="0">
    <xmlCellPr id="1" uniqueName="1">
      <xmlPr mapId="43" xpath="/ns1:Root/ns1:Prog/ns1:Achieved__P8_8" xmlDataType="string"/>
    </xmlCellPr>
  </singleXmlCell>
  <singleXmlCell id="754" r="P136" connectionId="0">
    <xmlCellPr id="1" uniqueName="1">
      <xmlPr mapId="43" xpath="/ns1:Root/ns1:Prog/ns1:Achieved__P9_8" xmlDataType="string"/>
    </xmlCellPr>
  </singleXmlCell>
  <singleXmlCell id="755" r="Q136" connectionId="0">
    <xmlCellPr id="1" uniqueName="1">
      <xmlPr mapId="43" xpath="/ns1:Root/ns1:Prog/ns1:Achieved__P10_8" xmlDataType="string"/>
    </xmlCellPr>
  </singleXmlCell>
  <singleXmlCell id="756" r="R136" connectionId="0">
    <xmlCellPr id="1" uniqueName="1">
      <xmlPr mapId="43" xpath="/ns1:Root/ns1:Prog/ns1:Achieved__P11_8" xmlDataType="string"/>
    </xmlCellPr>
  </singleXmlCell>
  <singleXmlCell id="757" r="S136" connectionId="0">
    <xmlCellPr id="1" uniqueName="1">
      <xmlPr mapId="43" xpath="/ns1:Root/ns1:Prog/ns1:Achieved__P12_8" xmlDataType="string"/>
    </xmlCellPr>
  </singleXmlCell>
  <singleXmlCell id="758" r="H137" connectionId="0">
    <xmlCellPr id="1" uniqueName="1">
      <xmlPr mapId="43" xpath="/ns1:Root/ns1:Prog/ns1:Target_P1_9" xmlDataType="double"/>
    </xmlCellPr>
  </singleXmlCell>
  <singleXmlCell id="759" r="I137" connectionId="0">
    <xmlCellPr id="1" uniqueName="1">
      <xmlPr mapId="43" xpath="/ns1:Root/ns1:Prog/ns1:Target_P2_9" xmlDataType="double"/>
    </xmlCellPr>
  </singleXmlCell>
  <singleXmlCell id="760" r="J137" connectionId="0">
    <xmlCellPr id="1" uniqueName="1">
      <xmlPr mapId="43" xpath="/ns1:Root/ns1:Prog/ns1:Target_P3_9" xmlDataType="double"/>
    </xmlCellPr>
  </singleXmlCell>
  <singleXmlCell id="761" r="K137" connectionId="0">
    <xmlCellPr id="1" uniqueName="1">
      <xmlPr mapId="43" xpath="/ns1:Root/ns1:Prog/ns1:Target_P4_9" xmlDataType="double"/>
    </xmlCellPr>
  </singleXmlCell>
  <singleXmlCell id="762" r="L137" connectionId="0">
    <xmlCellPr id="1" uniqueName="1">
      <xmlPr mapId="43" xpath="/ns1:Root/ns1:Prog/ns1:Target_P5_9" xmlDataType="double"/>
    </xmlCellPr>
  </singleXmlCell>
  <singleXmlCell id="763" r="M137" connectionId="0">
    <xmlCellPr id="1" uniqueName="1">
      <xmlPr mapId="43" xpath="/ns1:Root/ns1:Prog/ns1:Target_P6_9" xmlDataType="double"/>
    </xmlCellPr>
  </singleXmlCell>
  <singleXmlCell id="764" r="N137" connectionId="0">
    <xmlCellPr id="1" uniqueName="1">
      <xmlPr mapId="43" xpath="/ns1:Root/ns1:Prog/ns1:Target_P7_9" xmlDataType="double"/>
    </xmlCellPr>
  </singleXmlCell>
  <singleXmlCell id="765" r="O137" connectionId="0">
    <xmlCellPr id="1" uniqueName="1">
      <xmlPr mapId="43" xpath="/ns1:Root/ns1:Prog/ns1:Target_P8_9" xmlDataType="double"/>
    </xmlCellPr>
  </singleXmlCell>
  <singleXmlCell id="766" r="P137" connectionId="0">
    <xmlCellPr id="1" uniqueName="1">
      <xmlPr mapId="43" xpath="/ns1:Root/ns1:Prog/ns1:Target_P9_9" xmlDataType="double"/>
    </xmlCellPr>
  </singleXmlCell>
  <singleXmlCell id="767" r="Q137" connectionId="0">
    <xmlCellPr id="1" uniqueName="1">
      <xmlPr mapId="43" xpath="/ns1:Root/ns1:Prog/ns1:Target_P10_9" xmlDataType="double"/>
    </xmlCellPr>
  </singleXmlCell>
  <singleXmlCell id="768" r="R137" connectionId="0">
    <xmlCellPr id="1" uniqueName="1">
      <xmlPr mapId="43" xpath="/ns1:Root/ns1:Prog/ns1:Target_P11_9" xmlDataType="double"/>
    </xmlCellPr>
  </singleXmlCell>
  <singleXmlCell id="769" r="S137" connectionId="0">
    <xmlCellPr id="1" uniqueName="1">
      <xmlPr mapId="43" xpath="/ns1:Root/ns1:Prog/ns1:Target_P12_9" xmlDataType="double"/>
    </xmlCellPr>
  </singleXmlCell>
  <singleXmlCell id="770" r="H138" connectionId="0">
    <xmlCellPr id="1" uniqueName="1">
      <xmlPr mapId="43" xpath="/ns1:Root/ns1:Prog/ns1:Achieved__P1_9" xmlDataType="string"/>
    </xmlCellPr>
  </singleXmlCell>
  <singleXmlCell id="771" r="I138" connectionId="0">
    <xmlCellPr id="1" uniqueName="1">
      <xmlPr mapId="43" xpath="/ns1:Root/ns1:Prog/ns1:Achieved__P2_9" xmlDataType="double"/>
    </xmlCellPr>
  </singleXmlCell>
  <singleXmlCell id="772" r="J138" connectionId="0">
    <xmlCellPr id="1" uniqueName="1">
      <xmlPr mapId="43" xpath="/ns1:Root/ns1:Prog/ns1:Achieved__P3_9" xmlDataType="string"/>
    </xmlCellPr>
  </singleXmlCell>
  <singleXmlCell id="773" r="K138" connectionId="0">
    <xmlCellPr id="1" uniqueName="1">
      <xmlPr mapId="43" xpath="/ns1:Root/ns1:Prog/ns1:Achieved__P4_9" xmlDataType="double"/>
    </xmlCellPr>
  </singleXmlCell>
  <singleXmlCell id="774" r="L138" connectionId="0">
    <xmlCellPr id="1" uniqueName="1">
      <xmlPr mapId="43" xpath="/ns1:Root/ns1:Prog/ns1:Achieved__P5_9" xmlDataType="string"/>
    </xmlCellPr>
  </singleXmlCell>
  <singleXmlCell id="775" r="M138" connectionId="0">
    <xmlCellPr id="1" uniqueName="1">
      <xmlPr mapId="43" xpath="/ns1:Root/ns1:Prog/ns1:Achieved__P6_9" xmlDataType="string"/>
    </xmlCellPr>
  </singleXmlCell>
  <singleXmlCell id="776" r="N138" connectionId="0">
    <xmlCellPr id="1" uniqueName="1">
      <xmlPr mapId="43" xpath="/ns1:Root/ns1:Prog/ns1:Achieved__P7_9" xmlDataType="string"/>
    </xmlCellPr>
  </singleXmlCell>
  <singleXmlCell id="777" r="O138" connectionId="0">
    <xmlCellPr id="1" uniqueName="1">
      <xmlPr mapId="43" xpath="/ns1:Root/ns1:Prog/ns1:Achieved__P8_9" xmlDataType="string"/>
    </xmlCellPr>
  </singleXmlCell>
  <singleXmlCell id="778" r="P138" connectionId="0">
    <xmlCellPr id="1" uniqueName="1">
      <xmlPr mapId="43" xpath="/ns1:Root/ns1:Prog/ns1:Achieved__P9_9" xmlDataType="string"/>
    </xmlCellPr>
  </singleXmlCell>
  <singleXmlCell id="779" r="Q138" connectionId="0">
    <xmlCellPr id="1" uniqueName="1">
      <xmlPr mapId="43" xpath="/ns1:Root/ns1:Prog/ns1:Achieved__P10_9" xmlDataType="string"/>
    </xmlCellPr>
  </singleXmlCell>
  <singleXmlCell id="780" r="R138" connectionId="0">
    <xmlCellPr id="1" uniqueName="1">
      <xmlPr mapId="43" xpath="/ns1:Root/ns1:Prog/ns1:Achieved__P11_9" xmlDataType="string"/>
    </xmlCellPr>
  </singleXmlCell>
  <singleXmlCell id="781" r="S138" connectionId="0">
    <xmlCellPr id="1" uniqueName="1">
      <xmlPr mapId="43" xpath="/ns1:Root/ns1:Prog/ns1:Achieved__P12_9" xmlDataType="string"/>
    </xmlCellPr>
  </singleXmlCell>
  <singleXmlCell id="782" r="H139" connectionId="0">
    <xmlCellPr id="1" uniqueName="1">
      <xmlPr mapId="43" xpath="/ns1:Root/ns1:Prog/ns1:Target_P1" xmlDataType="string"/>
    </xmlCellPr>
  </singleXmlCell>
  <singleXmlCell id="783" r="I139" connectionId="0">
    <xmlCellPr id="1" uniqueName="1">
      <xmlPr mapId="43" xpath="/ns1:Root/ns1:Prog/ns1:Target_P2" xmlDataType="string"/>
    </xmlCellPr>
  </singleXmlCell>
  <singleXmlCell id="784" r="J139" connectionId="0">
    <xmlCellPr id="1" uniqueName="1">
      <xmlPr mapId="43" xpath="/ns1:Root/ns1:Prog/ns1:Target_P3" xmlDataType="string"/>
    </xmlCellPr>
  </singleXmlCell>
  <singleXmlCell id="785" r="K139" connectionId="0">
    <xmlCellPr id="1" uniqueName="1">
      <xmlPr mapId="43" xpath="/ns1:Root/ns1:Prog/ns1:Target_P4" xmlDataType="double"/>
    </xmlCellPr>
  </singleXmlCell>
  <singleXmlCell id="786" r="L139" connectionId="0">
    <xmlCellPr id="1" uniqueName="1">
      <xmlPr mapId="43" xpath="/ns1:Root/ns1:Prog/ns1:Target_P5" xmlDataType="string"/>
    </xmlCellPr>
  </singleXmlCell>
  <singleXmlCell id="787" r="M139" connectionId="0">
    <xmlCellPr id="1" uniqueName="1">
      <xmlPr mapId="43" xpath="/ns1:Root/ns1:Prog/ns1:Target_P6" xmlDataType="string"/>
    </xmlCellPr>
  </singleXmlCell>
  <singleXmlCell id="788" r="N139" connectionId="0">
    <xmlCellPr id="1" uniqueName="1">
      <xmlPr mapId="43" xpath="/ns1:Root/ns1:Prog/ns1:Target_P7" xmlDataType="string"/>
    </xmlCellPr>
  </singleXmlCell>
  <singleXmlCell id="789" r="O139" connectionId="0">
    <xmlCellPr id="1" uniqueName="1">
      <xmlPr mapId="43" xpath="/ns1:Root/ns1:Prog/ns1:Target_P8" xmlDataType="string"/>
    </xmlCellPr>
  </singleXmlCell>
  <singleXmlCell id="790" r="P139" connectionId="0">
    <xmlCellPr id="1" uniqueName="1">
      <xmlPr mapId="43" xpath="/ns1:Root/ns1:Prog/ns1:Target_P9" xmlDataType="string"/>
    </xmlCellPr>
  </singleXmlCell>
  <singleXmlCell id="791" r="Q139" connectionId="0">
    <xmlCellPr id="1" uniqueName="1">
      <xmlPr mapId="43" xpath="/ns1:Root/ns1:Prog/ns1:Target_P10" xmlDataType="string"/>
    </xmlCellPr>
  </singleXmlCell>
  <singleXmlCell id="792" r="R139" connectionId="0">
    <xmlCellPr id="1" uniqueName="1">
      <xmlPr mapId="43" xpath="/ns1:Root/ns1:Prog/ns1:Target_P11" xmlDataType="string"/>
    </xmlCellPr>
  </singleXmlCell>
  <singleXmlCell id="793" r="S139" connectionId="0">
    <xmlCellPr id="1" uniqueName="1">
      <xmlPr mapId="43" xpath="/ns1:Root/ns1:Prog/ns1:Target_P12" xmlDataType="string"/>
    </xmlCellPr>
  </singleXmlCell>
  <singleXmlCell id="794" r="H140" connectionId="0">
    <xmlCellPr id="1" uniqueName="1">
      <xmlPr mapId="43" xpath="/ns1:Root/ns1:Prog/ns1:Achieved__P1" xmlDataType="string"/>
    </xmlCellPr>
  </singleXmlCell>
  <singleXmlCell id="795" r="I140" connectionId="0">
    <xmlCellPr id="1" uniqueName="1">
      <xmlPr mapId="43" xpath="/ns1:Root/ns1:Prog/ns1:Achieved__P2" xmlDataType="string"/>
    </xmlCellPr>
  </singleXmlCell>
  <singleXmlCell id="796" r="J140" connectionId="0">
    <xmlCellPr id="1" uniqueName="1">
      <xmlPr mapId="43" xpath="/ns1:Root/ns1:Prog/ns1:Achieved__P3" xmlDataType="string"/>
    </xmlCellPr>
  </singleXmlCell>
  <singleXmlCell id="797" r="K140" connectionId="0">
    <xmlCellPr id="1" uniqueName="1">
      <xmlPr mapId="43" xpath="/ns1:Root/ns1:Prog/ns1:Achieved__P4" xmlDataType="string"/>
    </xmlCellPr>
  </singleXmlCell>
  <singleXmlCell id="798" r="L140" connectionId="0">
    <xmlCellPr id="1" uniqueName="1">
      <xmlPr mapId="43" xpath="/ns1:Root/ns1:Prog/ns1:Achieved__P5" xmlDataType="string"/>
    </xmlCellPr>
  </singleXmlCell>
  <singleXmlCell id="799" r="M140" connectionId="0">
    <xmlCellPr id="1" uniqueName="1">
      <xmlPr mapId="43" xpath="/ns1:Root/ns1:Prog/ns1:Achieved__P6" xmlDataType="string"/>
    </xmlCellPr>
  </singleXmlCell>
  <singleXmlCell id="800" r="N140" connectionId="0">
    <xmlCellPr id="1" uniqueName="1">
      <xmlPr mapId="43" xpath="/ns1:Root/ns1:Prog/ns1:Achieved__P7" xmlDataType="string"/>
    </xmlCellPr>
  </singleXmlCell>
  <singleXmlCell id="801" r="O140" connectionId="0">
    <xmlCellPr id="1" uniqueName="1">
      <xmlPr mapId="43" xpath="/ns1:Root/ns1:Prog/ns1:Achieved__P8" xmlDataType="string"/>
    </xmlCellPr>
  </singleXmlCell>
  <singleXmlCell id="802" r="P140" connectionId="0">
    <xmlCellPr id="1" uniqueName="1">
      <xmlPr mapId="43" xpath="/ns1:Root/ns1:Prog/ns1:Achieved__P9" xmlDataType="string"/>
    </xmlCellPr>
  </singleXmlCell>
  <singleXmlCell id="803" r="Q140" connectionId="0">
    <xmlCellPr id="1" uniqueName="1">
      <xmlPr mapId="43" xpath="/ns1:Root/ns1:Prog/ns1:Achieved__P10" xmlDataType="string"/>
    </xmlCellPr>
  </singleXmlCell>
  <singleXmlCell id="804" r="R140" connectionId="0">
    <xmlCellPr id="1" uniqueName="1">
      <xmlPr mapId="43" xpath="/ns1:Root/ns1:Prog/ns1:Achieved__P11" xmlDataType="string"/>
    </xmlCellPr>
  </singleXmlCell>
  <singleXmlCell id="805" r="S140" connectionId="0">
    <xmlCellPr id="1" uniqueName="1">
      <xmlPr mapId="43" xpath="/ns1:Root/ns1:Prog/ns1:Achieved__P12" xmlDataType="string"/>
    </xmlCellPr>
  </singleXmlCell>
  <singleXmlCell id="806" r="K123" connectionId="0">
    <xmlCellPr id="1" uniqueName="1">
      <xmlPr mapId="43" xpath="/ns1:Root/ns1:Prog/ns1:Target_P4_2" xmlDataType="double"/>
    </xmlCellPr>
  </singleXmlCell>
  <singleXmlCell id="807" r="B121" connectionId="0">
    <xmlCellPr id="1" uniqueName="1">
      <xmlPr mapId="43" xpath="/ns1:Root/ns1:P1" xmlDataType="string"/>
    </xmlCellPr>
  </singleXmlCell>
  <singleXmlCell id="808" r="E121" connectionId="0">
    <xmlCellPr id="1" uniqueName="1">
      <xmlPr mapId="43" xpath="/ns1:Root/ns1:P1_Code" xmlDataType="double"/>
    </xmlCellPr>
  </singleXmlCell>
  <singleXmlCell id="809" r="F121" connectionId="0">
    <xmlCellPr id="1" uniqueName="1">
      <xmlPr mapId="43" xpath="/ns1:Root/ns1:P1_Tied" xmlDataType="string"/>
    </xmlCellPr>
  </singleXmlCell>
  <singleXmlCell id="810" r="B123" connectionId="0">
    <xmlCellPr id="1" uniqueName="1">
      <xmlPr mapId="43" xpath="/ns1:Root/ns1:P2" xmlDataType="string"/>
    </xmlCellPr>
  </singleXmlCell>
  <singleXmlCell id="811" r="E123" connectionId="0">
    <xmlCellPr id="1" uniqueName="1">
      <xmlPr mapId="43" xpath="/ns1:Root/ns1:P2_Code" xmlDataType="double"/>
    </xmlCellPr>
  </singleXmlCell>
  <singleXmlCell id="812" r="F123" connectionId="0">
    <xmlCellPr id="1" uniqueName="1">
      <xmlPr mapId="43" xpath="/ns1:Root/ns1:P2_Tied" xmlDataType="string"/>
    </xmlCellPr>
  </singleXmlCell>
  <singleXmlCell id="813" r="B125" connectionId="0">
    <xmlCellPr id="1" uniqueName="1">
      <xmlPr mapId="43" xpath="/ns1:Root/ns1:P3" xmlDataType="string"/>
    </xmlCellPr>
  </singleXmlCell>
  <singleXmlCell id="814" r="E125" connectionId="0">
    <xmlCellPr id="1" uniqueName="1">
      <xmlPr mapId="43" xpath="/ns1:Root/ns1:P3_Code" xmlDataType="double"/>
    </xmlCellPr>
  </singleXmlCell>
  <singleXmlCell id="815" r="F125" connectionId="0">
    <xmlCellPr id="1" uniqueName="1">
      <xmlPr mapId="43" xpath="/ns1:Root/ns1:P3_Tied" xmlDataType="string"/>
    </xmlCellPr>
  </singleXmlCell>
  <singleXmlCell id="816" r="B127" connectionId="0">
    <xmlCellPr id="1" uniqueName="1">
      <xmlPr mapId="43" xpath="/ns1:Root/ns1:P4" xmlDataType="string"/>
    </xmlCellPr>
  </singleXmlCell>
  <singleXmlCell id="817" r="E127" connectionId="0">
    <xmlCellPr id="1" uniqueName="1">
      <xmlPr mapId="43" xpath="/ns1:Root/ns1:P4_Code" xmlDataType="double"/>
    </xmlCellPr>
  </singleXmlCell>
  <singleXmlCell id="818" r="F127" connectionId="0">
    <xmlCellPr id="1" uniqueName="1">
      <xmlPr mapId="43" xpath="/ns1:Root/ns1:P4_Tied" xmlDataType="string"/>
    </xmlCellPr>
  </singleXmlCell>
  <singleXmlCell id="819" r="B129" connectionId="0">
    <xmlCellPr id="1" uniqueName="1">
      <xmlPr mapId="43" xpath="/ns1:Root/ns1:P5" xmlDataType="string"/>
    </xmlCellPr>
  </singleXmlCell>
  <singleXmlCell id="820" r="E129" connectionId="0">
    <xmlCellPr id="1" uniqueName="1">
      <xmlPr mapId="43" xpath="/ns1:Root/ns1:P5_Code" xmlDataType="double"/>
    </xmlCellPr>
  </singleXmlCell>
  <singleXmlCell id="821" r="F129" connectionId="0">
    <xmlCellPr id="1" uniqueName="1">
      <xmlPr mapId="43" xpath="/ns1:Root/ns1:P5_Tied" xmlDataType="string"/>
    </xmlCellPr>
  </singleXmlCell>
  <singleXmlCell id="822" r="B131" connectionId="0">
    <xmlCellPr id="1" uniqueName="1">
      <xmlPr mapId="43" xpath="/ns1:Root/ns1:P6" xmlDataType="string"/>
    </xmlCellPr>
  </singleXmlCell>
  <singleXmlCell id="823" r="E131" connectionId="0">
    <xmlCellPr id="1" uniqueName="1">
      <xmlPr mapId="43" xpath="/ns1:Root/ns1:P6_Code" xmlDataType="double"/>
    </xmlCellPr>
  </singleXmlCell>
  <singleXmlCell id="824" r="F131" connectionId="0">
    <xmlCellPr id="1" uniqueName="1">
      <xmlPr mapId="43" xpath="/ns1:Root/ns1:P6_Tied" xmlDataType="string"/>
    </xmlCellPr>
  </singleXmlCell>
  <singleXmlCell id="825" r="B133" connectionId="0">
    <xmlCellPr id="1" uniqueName="1">
      <xmlPr mapId="43" xpath="/ns1:Root/ns1:P7" xmlDataType="string"/>
    </xmlCellPr>
  </singleXmlCell>
  <singleXmlCell id="826" r="E133" connectionId="0">
    <xmlCellPr id="1" uniqueName="1">
      <xmlPr mapId="43" xpath="/ns1:Root/ns1:P7_Code" xmlDataType="double"/>
    </xmlCellPr>
  </singleXmlCell>
  <singleXmlCell id="827" r="F133" connectionId="0">
    <xmlCellPr id="1" uniqueName="1">
      <xmlPr mapId="43" xpath="/ns1:Root/ns1:P7_Tied" xmlDataType="string"/>
    </xmlCellPr>
  </singleXmlCell>
  <singleXmlCell id="828" r="B135" connectionId="0">
    <xmlCellPr id="1" uniqueName="1">
      <xmlPr mapId="43" xpath="/ns1:Root/ns1:P8" xmlDataType="string"/>
    </xmlCellPr>
  </singleXmlCell>
  <singleXmlCell id="829" r="E135" connectionId="0">
    <xmlCellPr id="1" uniqueName="1">
      <xmlPr mapId="43" xpath="/ns1:Root/ns1:P8_Code" xmlDataType="double"/>
    </xmlCellPr>
  </singleXmlCell>
  <singleXmlCell id="830" r="F135" connectionId="0">
    <xmlCellPr id="1" uniqueName="1">
      <xmlPr mapId="43" xpath="/ns1:Root/ns1:P8_Tied" xmlDataType="string"/>
    </xmlCellPr>
  </singleXmlCell>
  <singleXmlCell id="831" r="B137" connectionId="0">
    <xmlCellPr id="1" uniqueName="1">
      <xmlPr mapId="43" xpath="/ns1:Root/ns1:P9" xmlDataType="string"/>
    </xmlCellPr>
  </singleXmlCell>
  <singleXmlCell id="832" r="E137" connectionId="0">
    <xmlCellPr id="1" uniqueName="1">
      <xmlPr mapId="43" xpath="/ns1:Root/ns1:P9_Code" xmlDataType="double"/>
    </xmlCellPr>
  </singleXmlCell>
  <singleXmlCell id="833" r="F137" connectionId="0">
    <xmlCellPr id="1" uniqueName="1">
      <xmlPr mapId="43" xpath="/ns1:Root/ns1:P9_Tied" xmlDataType="double"/>
    </xmlCellPr>
  </singleXmlCell>
  <singleXmlCell id="834" r="B139" connectionId="0">
    <xmlCellPr id="1" uniqueName="1">
      <xmlPr mapId="43" xpath="/ns1:Root/ns1:P10" xmlDataType="string"/>
    </xmlCellPr>
  </singleXmlCell>
  <singleXmlCell id="835" r="E139" connectionId="0">
    <xmlCellPr id="1" uniqueName="1">
      <xmlPr mapId="43" xpath="/ns1:Root/ns1:P10_Code" xmlDataType="double"/>
    </xmlCellPr>
  </singleXmlCell>
  <singleXmlCell id="836" r="F139" connectionId="0">
    <xmlCellPr id="1" uniqueName="1">
      <xmlPr mapId="43" xpath="/ns1:Root/ns1:P10_Tied" xmlDataType="string"/>
    </xmlCellPr>
  </singleXmlCell>
  <singleXmlCell id="837" r="D26" connectionId="0">
    <xmlCellPr id="1"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heetViews>
  <sheetFormatPr defaultColWidth="11" defaultRowHeight="14.5"/>
  <cols>
    <col min="1" max="1" width="1.1796875" customWidth="1"/>
    <col min="2" max="10" width="11.453125" customWidth="1"/>
    <col min="11" max="11" width="1.6328125" customWidth="1"/>
  </cols>
  <sheetData>
    <row r="1" spans="2:15" ht="25.5" customHeight="1"/>
    <row r="2" spans="2:15" ht="36">
      <c r="B2" s="539" t="str">
        <f>+'Grant Detail'!B3:J3</f>
        <v>Dashboard:  Georgia - HIV / AIDS</v>
      </c>
      <c r="C2" s="539"/>
      <c r="D2" s="539"/>
      <c r="E2" s="539"/>
      <c r="F2" s="539"/>
      <c r="G2" s="539"/>
      <c r="H2" s="539"/>
      <c r="I2" s="539"/>
      <c r="J2" s="539"/>
      <c r="K2" s="539"/>
      <c r="L2" s="539"/>
      <c r="M2" s="1"/>
      <c r="N2" s="1"/>
      <c r="O2" s="1"/>
    </row>
    <row r="4" spans="2:15" ht="21">
      <c r="B4" s="540" t="str">
        <f>+IF('Data Entry'!G6="Please Select", "",'Data Entry'!G6) &amp;"  "&amp;+IF('Data Entry'!G8="Please Select", "", 'Data Entry'!G8&amp;",  ")&amp;+IF('Data Entry'!I8="Please Select","",'Data Entry'!I8)</f>
        <v>HIV / AIDS  NFM,  N/A</v>
      </c>
      <c r="C4" s="540"/>
      <c r="D4" s="540"/>
      <c r="E4" s="541"/>
      <c r="F4" s="229"/>
      <c r="G4" s="229"/>
      <c r="H4" s="347" t="str">
        <f>+'Data Entry'!B6&amp;" "&amp;+'Data Entry'!C6</f>
        <v>Grant No.: GEO-H-NCDC</v>
      </c>
      <c r="I4" s="347"/>
      <c r="J4" s="228"/>
      <c r="K4" s="229"/>
      <c r="L4" s="229"/>
    </row>
    <row r="22" spans="2:12" ht="26">
      <c r="B22" s="542" t="s">
        <v>405</v>
      </c>
      <c r="C22" s="543"/>
      <c r="D22" s="543"/>
      <c r="E22" s="543"/>
      <c r="F22" s="543"/>
      <c r="G22" s="543"/>
      <c r="H22" s="543"/>
      <c r="I22" s="543"/>
      <c r="J22" s="543"/>
      <c r="K22" s="543"/>
      <c r="L22" s="543"/>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4.5"/>
  <cols>
    <col min="1" max="1" width="11.453125" customWidth="1"/>
    <col min="2" max="2" width="16.1796875" customWidth="1"/>
    <col min="3" max="3" width="14.6328125" customWidth="1"/>
    <col min="4" max="4" width="15.453125" customWidth="1"/>
    <col min="5" max="6" width="11.453125" customWidth="1"/>
    <col min="7" max="7" width="14.453125" customWidth="1"/>
    <col min="8" max="8" width="35.453125" customWidth="1"/>
    <col min="9" max="9" width="45.6328125" customWidth="1"/>
    <col min="10" max="10" width="33.453125" customWidth="1"/>
    <col min="11" max="12" width="11.453125" customWidth="1"/>
    <col min="13" max="13" width="28.453125" customWidth="1"/>
    <col min="14" max="14" width="46.453125" customWidth="1"/>
  </cols>
  <sheetData>
    <row r="2" spans="2:15" ht="25.5" customHeight="1"/>
    <row r="3" spans="2:15" ht="36">
      <c r="B3" s="973" t="str">
        <f>'Grant Detail'!B3:J3</f>
        <v>Dashboard:  Georgia - HIV / AIDS</v>
      </c>
      <c r="C3" s="973"/>
      <c r="D3" s="973"/>
      <c r="E3" s="973"/>
      <c r="F3" s="973"/>
      <c r="G3" s="973"/>
      <c r="H3" s="973"/>
      <c r="I3" s="1"/>
    </row>
    <row r="6" spans="2:15" ht="18.5">
      <c r="B6" s="926" t="s">
        <v>319</v>
      </c>
      <c r="C6" s="926"/>
      <c r="D6" s="926"/>
      <c r="E6" s="926"/>
      <c r="F6" s="926"/>
      <c r="G6" s="926"/>
      <c r="H6" s="926"/>
    </row>
    <row r="8" spans="2:15" ht="18.5">
      <c r="B8" s="62" t="s">
        <v>32</v>
      </c>
      <c r="C8" s="62" t="s">
        <v>35</v>
      </c>
      <c r="D8" s="62" t="s">
        <v>36</v>
      </c>
      <c r="E8" s="62" t="s">
        <v>41</v>
      </c>
      <c r="F8" s="62" t="s">
        <v>286</v>
      </c>
      <c r="G8" s="62" t="s">
        <v>265</v>
      </c>
      <c r="H8" s="62" t="s">
        <v>293</v>
      </c>
      <c r="I8" s="63" t="s">
        <v>87</v>
      </c>
      <c r="J8" s="63" t="s">
        <v>129</v>
      </c>
      <c r="M8" s="19"/>
      <c r="N8" s="19"/>
      <c r="O8" s="19"/>
    </row>
    <row r="9" spans="2:15">
      <c r="B9" s="86" t="s">
        <v>372</v>
      </c>
      <c r="C9" s="86" t="s">
        <v>372</v>
      </c>
      <c r="D9" s="86" t="s">
        <v>372</v>
      </c>
      <c r="E9" s="86" t="s">
        <v>372</v>
      </c>
      <c r="F9" s="86" t="s">
        <v>372</v>
      </c>
      <c r="G9" s="86" t="s">
        <v>372</v>
      </c>
      <c r="H9" s="86" t="s">
        <v>372</v>
      </c>
      <c r="I9" s="403" t="s">
        <v>372</v>
      </c>
      <c r="J9" s="86" t="s">
        <v>372</v>
      </c>
      <c r="M9" s="19"/>
      <c r="N9" s="19"/>
      <c r="O9" s="19"/>
    </row>
    <row r="10" spans="2:15">
      <c r="B10" s="57" t="s">
        <v>27</v>
      </c>
      <c r="C10" s="57" t="s">
        <v>18</v>
      </c>
      <c r="D10" s="57" t="s">
        <v>16</v>
      </c>
      <c r="E10" s="57" t="s">
        <v>17</v>
      </c>
      <c r="F10" s="57" t="s">
        <v>105</v>
      </c>
      <c r="G10" s="408" t="s">
        <v>43</v>
      </c>
      <c r="H10" s="60" t="s">
        <v>48</v>
      </c>
      <c r="I10" s="27" t="s">
        <v>299</v>
      </c>
      <c r="J10" s="86" t="s">
        <v>130</v>
      </c>
      <c r="M10" s="19"/>
      <c r="N10" s="19"/>
      <c r="O10" s="19"/>
    </row>
    <row r="11" spans="2:15">
      <c r="B11" s="57" t="s">
        <v>33</v>
      </c>
      <c r="C11" s="57" t="s">
        <v>13</v>
      </c>
      <c r="D11" s="57" t="s">
        <v>19</v>
      </c>
      <c r="E11" s="57" t="s">
        <v>15</v>
      </c>
      <c r="F11" s="57" t="s">
        <v>106</v>
      </c>
      <c r="G11" s="408" t="s">
        <v>44</v>
      </c>
      <c r="H11" s="60" t="s">
        <v>49</v>
      </c>
      <c r="I11" s="27" t="s">
        <v>300</v>
      </c>
      <c r="J11" s="86" t="s">
        <v>131</v>
      </c>
      <c r="M11" s="19"/>
      <c r="N11" s="19"/>
      <c r="O11" s="19"/>
    </row>
    <row r="12" spans="2:15">
      <c r="B12" s="57" t="s">
        <v>34</v>
      </c>
      <c r="D12" s="57" t="s">
        <v>22</v>
      </c>
      <c r="E12" s="57" t="s">
        <v>23</v>
      </c>
      <c r="F12" s="57" t="s">
        <v>107</v>
      </c>
      <c r="G12" s="408" t="s">
        <v>45</v>
      </c>
      <c r="H12" s="60" t="s">
        <v>50</v>
      </c>
      <c r="I12" s="27" t="s">
        <v>301</v>
      </c>
      <c r="J12" s="86" t="s">
        <v>132</v>
      </c>
      <c r="M12" s="195"/>
      <c r="N12" s="19"/>
      <c r="O12" s="19"/>
    </row>
    <row r="13" spans="2:15">
      <c r="B13" s="57" t="s">
        <v>83</v>
      </c>
      <c r="D13" s="57" t="s">
        <v>24</v>
      </c>
      <c r="E13" s="58"/>
      <c r="F13" s="57" t="s">
        <v>108</v>
      </c>
      <c r="G13" s="408" t="s">
        <v>46</v>
      </c>
      <c r="H13" s="60" t="s">
        <v>51</v>
      </c>
      <c r="I13" s="27" t="s">
        <v>302</v>
      </c>
      <c r="J13" s="86" t="s">
        <v>133</v>
      </c>
      <c r="M13" s="195"/>
      <c r="N13" s="19"/>
      <c r="O13" s="19"/>
    </row>
    <row r="14" spans="2:15">
      <c r="B14" s="57" t="s">
        <v>84</v>
      </c>
      <c r="D14" s="57" t="s">
        <v>37</v>
      </c>
      <c r="F14" s="57" t="s">
        <v>120</v>
      </c>
      <c r="G14" s="408" t="s">
        <v>47</v>
      </c>
      <c r="H14" s="60" t="s">
        <v>52</v>
      </c>
      <c r="I14" s="27" t="s">
        <v>271</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07" t="s">
        <v>368</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287</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310</v>
      </c>
      <c r="J24" s="86" t="s">
        <v>144</v>
      </c>
      <c r="M24" s="19"/>
      <c r="N24" s="19"/>
      <c r="O24" s="19"/>
    </row>
    <row r="25" spans="4:15">
      <c r="I25" s="45"/>
      <c r="J25" s="86" t="s">
        <v>145</v>
      </c>
    </row>
    <row r="26" spans="4:15">
      <c r="I26" s="27" t="s">
        <v>314</v>
      </c>
      <c r="J26" s="86" t="s">
        <v>146</v>
      </c>
    </row>
    <row r="27" spans="4:15">
      <c r="I27" s="27" t="s">
        <v>309</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1"/>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78"/>
  <sheetViews>
    <sheetView showGridLines="0" zoomScale="70" zoomScaleNormal="70" zoomScalePageLayoutView="70" workbookViewId="0">
      <pane ySplit="2" topLeftCell="A36" activePane="bottomLeft" state="frozen"/>
      <selection activeCell="E22" sqref="E22"/>
      <selection pane="bottomLeft" activeCell="M42" sqref="M42"/>
    </sheetView>
  </sheetViews>
  <sheetFormatPr defaultColWidth="11" defaultRowHeight="14.5"/>
  <cols>
    <col min="1" max="1" width="2.6328125" customWidth="1"/>
    <col min="2" max="2" width="21.453125" customWidth="1"/>
    <col min="3" max="3" width="11.453125" customWidth="1"/>
    <col min="4" max="4" width="11.1796875" customWidth="1"/>
    <col min="5" max="5" width="16.453125" customWidth="1"/>
    <col min="6" max="6" width="15.6328125" customWidth="1"/>
    <col min="7" max="7" width="37.36328125" customWidth="1"/>
    <col min="8" max="8" width="17.36328125" customWidth="1"/>
    <col min="9" max="9" width="71" customWidth="1"/>
    <col min="10" max="10" width="14.1796875" customWidth="1"/>
    <col min="11" max="11" width="16" customWidth="1"/>
    <col min="12" max="12" width="13.1796875" customWidth="1"/>
    <col min="13" max="13" width="49.453125" customWidth="1"/>
    <col min="14" max="14" width="2.453125" style="36" customWidth="1"/>
    <col min="15" max="15" width="3" style="36" customWidth="1"/>
    <col min="16" max="16" width="2.453125" customWidth="1"/>
    <col min="17" max="17" width="16.1796875" customWidth="1"/>
    <col min="18" max="18" width="13.6328125" customWidth="1"/>
    <col min="19" max="19" width="11.453125" customWidth="1"/>
    <col min="20" max="20" width="14.81640625" customWidth="1"/>
    <col min="21" max="21" width="16" customWidth="1"/>
    <col min="22" max="22" width="11.453125" hidden="1" customWidth="1"/>
    <col min="23" max="23" width="15.453125" customWidth="1"/>
    <col min="24" max="24" width="11.453125" customWidth="1"/>
    <col min="25" max="25" width="2.36328125" customWidth="1"/>
    <col min="26" max="26" width="1.1796875" customWidth="1"/>
    <col min="27" max="27" width="3.36328125" customWidth="1"/>
    <col min="28" max="28" width="17" customWidth="1"/>
    <col min="29" max="29" width="15" customWidth="1"/>
    <col min="30" max="30" width="11.453125" customWidth="1"/>
    <col min="31" max="31" width="13.453125" customWidth="1"/>
    <col min="32" max="32" width="16.81640625" customWidth="1"/>
    <col min="33" max="33" width="11.453125" customWidth="1"/>
    <col min="34" max="34" width="2" customWidth="1"/>
    <col min="35" max="35" width="3.36328125" customWidth="1"/>
    <col min="36" max="36" width="2.36328125" customWidth="1"/>
    <col min="37" max="37" width="40.6328125" customWidth="1"/>
    <col min="38" max="38" width="15.453125" customWidth="1"/>
  </cols>
  <sheetData>
    <row r="1" spans="1:15" ht="34.5" customHeight="1">
      <c r="A1" s="3"/>
      <c r="B1" s="3"/>
      <c r="C1" s="3"/>
      <c r="D1" s="3"/>
      <c r="E1" s="3"/>
      <c r="F1" s="3"/>
      <c r="G1" s="3"/>
      <c r="H1" s="3"/>
      <c r="I1" s="3"/>
      <c r="J1" s="3"/>
      <c r="K1" s="3"/>
      <c r="L1" s="3"/>
      <c r="M1" s="3"/>
    </row>
    <row r="2" spans="1:15" ht="36" customHeight="1">
      <c r="A2" s="3"/>
      <c r="B2" s="558" t="str">
        <f>+"Dashboard: "&amp;" "&amp;+IF('Data Entry'!C4="Please Select","",'Data Entry'!C4&amp;" - ")&amp;+IF('Data Entry'!G6="Please Select","",'Data Entry'!G6)</f>
        <v>Dashboard:  Georgia - HIV / AIDS</v>
      </c>
      <c r="C2" s="558"/>
      <c r="D2" s="558"/>
      <c r="E2" s="558"/>
      <c r="F2" s="558"/>
      <c r="G2" s="558"/>
      <c r="H2" s="558"/>
      <c r="I2" s="558"/>
      <c r="J2" s="558"/>
      <c r="K2" s="558"/>
      <c r="L2" s="558"/>
      <c r="M2" s="558"/>
    </row>
    <row r="3" spans="1:15" ht="15.75" customHeight="1">
      <c r="A3" s="3"/>
      <c r="B3" s="220"/>
      <c r="C3" s="220"/>
      <c r="D3" s="220"/>
      <c r="E3" s="220"/>
      <c r="F3" s="220"/>
      <c r="G3" s="220"/>
      <c r="H3" s="220"/>
      <c r="I3" s="220"/>
      <c r="J3" s="220"/>
      <c r="K3" s="221"/>
      <c r="L3" s="221"/>
      <c r="M3" s="3"/>
    </row>
    <row r="5" spans="1:15" ht="23.5">
      <c r="B5" s="557" t="s">
        <v>283</v>
      </c>
      <c r="C5" s="557"/>
      <c r="D5" s="557"/>
      <c r="E5" s="557"/>
      <c r="F5" s="557"/>
      <c r="G5" s="557"/>
      <c r="H5" s="557"/>
      <c r="I5" s="557"/>
      <c r="J5" s="557"/>
      <c r="K5" s="557"/>
      <c r="L5" s="557"/>
      <c r="M5" s="557"/>
      <c r="N5" s="557"/>
      <c r="O5" s="557"/>
    </row>
    <row r="7" spans="1:15" ht="21">
      <c r="B7" s="559" t="s">
        <v>272</v>
      </c>
      <c r="C7" s="560"/>
      <c r="D7" s="561"/>
      <c r="E7" s="559" t="s">
        <v>273</v>
      </c>
      <c r="F7" s="560"/>
      <c r="G7" s="560"/>
      <c r="H7" s="560"/>
      <c r="I7" s="561"/>
      <c r="J7" s="559" t="s">
        <v>274</v>
      </c>
      <c r="K7" s="560"/>
      <c r="L7" s="561"/>
      <c r="M7" s="559" t="s">
        <v>347</v>
      </c>
      <c r="N7" s="560"/>
      <c r="O7" s="561"/>
    </row>
    <row r="8" spans="1:15" ht="92.25" customHeight="1">
      <c r="B8" s="570" t="str">
        <f>+'Data Entry'!B27</f>
        <v>F1: Budget and disbursements by Global Fund</v>
      </c>
      <c r="C8" s="571"/>
      <c r="D8" s="572"/>
      <c r="E8" s="562" t="s">
        <v>393</v>
      </c>
      <c r="F8" s="563"/>
      <c r="G8" s="563"/>
      <c r="H8" s="563"/>
      <c r="I8" s="564"/>
      <c r="J8" s="545" t="s">
        <v>348</v>
      </c>
      <c r="K8" s="546"/>
      <c r="L8" s="547"/>
      <c r="M8" s="545" t="s">
        <v>394</v>
      </c>
      <c r="N8" s="546"/>
      <c r="O8" s="547"/>
    </row>
    <row r="9" spans="1:15" ht="117.75" customHeight="1">
      <c r="B9" s="570" t="str">
        <f>+'Data Entry'!B36</f>
        <v>F2: Budget and actual expenditures by Grant Objective</v>
      </c>
      <c r="C9" s="571"/>
      <c r="D9" s="572"/>
      <c r="E9" s="553" t="s">
        <v>356</v>
      </c>
      <c r="F9" s="554"/>
      <c r="G9" s="554"/>
      <c r="H9" s="554"/>
      <c r="I9" s="555"/>
      <c r="J9" s="545" t="s">
        <v>350</v>
      </c>
      <c r="K9" s="546"/>
      <c r="L9" s="547"/>
      <c r="M9" s="545" t="s">
        <v>394</v>
      </c>
      <c r="N9" s="546"/>
      <c r="O9" s="547"/>
    </row>
    <row r="10" spans="1:15" ht="152.25" customHeight="1">
      <c r="B10" s="565" t="str">
        <f>+'Data Entry'!B52</f>
        <v>F3: Disbursements and expenditures</v>
      </c>
      <c r="C10" s="568"/>
      <c r="D10" s="569"/>
      <c r="E10" s="553" t="s">
        <v>395</v>
      </c>
      <c r="F10" s="554"/>
      <c r="G10" s="554"/>
      <c r="H10" s="554"/>
      <c r="I10" s="555"/>
      <c r="J10" s="545" t="s">
        <v>357</v>
      </c>
      <c r="K10" s="546"/>
      <c r="L10" s="547"/>
      <c r="M10" s="545" t="s">
        <v>349</v>
      </c>
      <c r="N10" s="546"/>
      <c r="O10" s="547"/>
    </row>
    <row r="11" spans="1:15" ht="279.75" customHeight="1">
      <c r="B11" s="565" t="str">
        <f>+'Data Entry'!B61</f>
        <v>F4: Latest PR reporting and disbursement cycle</v>
      </c>
      <c r="C11" s="566"/>
      <c r="D11" s="567"/>
      <c r="E11" s="553" t="s">
        <v>406</v>
      </c>
      <c r="F11" s="554"/>
      <c r="G11" s="554"/>
      <c r="H11" s="554"/>
      <c r="I11" s="555"/>
      <c r="J11" s="545" t="s">
        <v>358</v>
      </c>
      <c r="K11" s="546"/>
      <c r="L11" s="547"/>
      <c r="M11" s="545" t="s">
        <v>277</v>
      </c>
      <c r="N11" s="546"/>
      <c r="O11" s="547"/>
    </row>
    <row r="12" spans="1:15" s="19" customFormat="1">
      <c r="B12" s="544"/>
      <c r="C12" s="544"/>
      <c r="D12" s="544"/>
      <c r="E12" s="548"/>
      <c r="F12" s="548"/>
      <c r="G12" s="548"/>
      <c r="H12" s="548"/>
      <c r="I12" s="548"/>
      <c r="J12" s="548"/>
      <c r="K12" s="548"/>
      <c r="L12" s="548"/>
      <c r="M12" s="548"/>
      <c r="N12" s="548"/>
      <c r="O12" s="548"/>
    </row>
    <row r="13" spans="1:15" s="19" customFormat="1">
      <c r="B13" s="556"/>
      <c r="C13" s="556"/>
      <c r="D13" s="556"/>
      <c r="E13" s="549"/>
      <c r="F13" s="549"/>
      <c r="G13" s="549"/>
      <c r="H13" s="549"/>
      <c r="I13" s="549"/>
      <c r="J13" s="549"/>
      <c r="K13" s="549"/>
      <c r="L13" s="549"/>
      <c r="M13" s="549"/>
      <c r="N13" s="549"/>
      <c r="O13" s="549"/>
    </row>
    <row r="14" spans="1:15" s="19" customFormat="1">
      <c r="B14" s="556"/>
      <c r="C14" s="556"/>
      <c r="D14" s="556"/>
      <c r="E14" s="549"/>
      <c r="F14" s="549"/>
      <c r="G14" s="549"/>
      <c r="H14" s="549"/>
      <c r="I14" s="549"/>
      <c r="J14" s="549"/>
      <c r="K14" s="549"/>
      <c r="L14" s="549"/>
      <c r="M14" s="549"/>
      <c r="N14" s="549"/>
      <c r="O14" s="549"/>
    </row>
    <row r="15" spans="1:15" s="19" customFormat="1">
      <c r="B15" s="556"/>
      <c r="C15" s="556"/>
      <c r="D15" s="556"/>
      <c r="E15" s="549"/>
      <c r="F15" s="549"/>
      <c r="G15" s="549"/>
      <c r="H15" s="549"/>
      <c r="I15" s="549"/>
      <c r="J15" s="549"/>
      <c r="K15" s="549"/>
      <c r="L15" s="549"/>
      <c r="M15" s="549"/>
      <c r="N15" s="549"/>
      <c r="O15" s="549"/>
    </row>
    <row r="16" spans="1:15" ht="23.5">
      <c r="B16" s="557" t="s">
        <v>284</v>
      </c>
      <c r="C16" s="557"/>
      <c r="D16" s="557"/>
      <c r="E16" s="557"/>
      <c r="F16" s="557"/>
      <c r="G16" s="557"/>
      <c r="H16" s="557"/>
      <c r="I16" s="557"/>
      <c r="J16" s="557"/>
      <c r="K16" s="557"/>
      <c r="L16" s="557"/>
      <c r="M16" s="557"/>
      <c r="N16" s="557"/>
      <c r="O16" s="557"/>
    </row>
    <row r="18" spans="1:15" ht="21">
      <c r="B18" s="550" t="s">
        <v>272</v>
      </c>
      <c r="C18" s="551"/>
      <c r="D18" s="552"/>
      <c r="E18" s="550" t="s">
        <v>273</v>
      </c>
      <c r="F18" s="551"/>
      <c r="G18" s="551"/>
      <c r="H18" s="551"/>
      <c r="I18" s="552"/>
      <c r="J18" s="550" t="s">
        <v>274</v>
      </c>
      <c r="K18" s="551"/>
      <c r="L18" s="552"/>
      <c r="M18" s="550" t="s">
        <v>275</v>
      </c>
      <c r="N18" s="551"/>
      <c r="O18" s="552"/>
    </row>
    <row r="19" spans="1:15" ht="114" customHeight="1">
      <c r="B19" s="570" t="str">
        <f>+'Data Entry'!B72</f>
        <v>M1: Status of Conditions Precedent (CPs) and Time Bound Actions (TBAs)</v>
      </c>
      <c r="C19" s="603"/>
      <c r="D19" s="604"/>
      <c r="E19" s="553" t="s">
        <v>282</v>
      </c>
      <c r="F19" s="554"/>
      <c r="G19" s="554"/>
      <c r="H19" s="554"/>
      <c r="I19" s="555"/>
      <c r="J19" s="545" t="s">
        <v>351</v>
      </c>
      <c r="K19" s="546"/>
      <c r="L19" s="547"/>
      <c r="M19" s="545" t="s">
        <v>352</v>
      </c>
      <c r="N19" s="546"/>
      <c r="O19" s="547"/>
    </row>
    <row r="20" spans="1:15" ht="102.75" customHeight="1">
      <c r="B20" s="570" t="str">
        <f>+'Data Entry'!B79</f>
        <v>M2: Status of key PR management positions</v>
      </c>
      <c r="C20" s="603"/>
      <c r="D20" s="604"/>
      <c r="E20" s="553" t="s">
        <v>396</v>
      </c>
      <c r="F20" s="554"/>
      <c r="G20" s="554"/>
      <c r="H20" s="554"/>
      <c r="I20" s="555"/>
      <c r="J20" s="545" t="s">
        <v>279</v>
      </c>
      <c r="K20" s="546"/>
      <c r="L20" s="547"/>
      <c r="M20" s="545" t="s">
        <v>278</v>
      </c>
      <c r="N20" s="546"/>
      <c r="O20" s="547"/>
    </row>
    <row r="21" spans="1:15" ht="111.75" customHeight="1">
      <c r="B21" s="570" t="str">
        <f>+'Data Entry'!B84</f>
        <v xml:space="preserve">M3: Contractual arrangements (SRs) </v>
      </c>
      <c r="C21" s="603"/>
      <c r="D21" s="604"/>
      <c r="E21" s="605" t="s">
        <v>0</v>
      </c>
      <c r="F21" s="554"/>
      <c r="G21" s="554"/>
      <c r="H21" s="554"/>
      <c r="I21" s="555"/>
      <c r="J21" s="545" t="s">
        <v>353</v>
      </c>
      <c r="K21" s="546"/>
      <c r="L21" s="547"/>
      <c r="M21" s="545" t="s">
        <v>354</v>
      </c>
      <c r="N21" s="546"/>
      <c r="O21" s="547"/>
    </row>
    <row r="22" spans="1:15" ht="74.25" customHeight="1">
      <c r="B22" s="570" t="str">
        <f>+'Data Entry'!B89</f>
        <v>M4: Number of complete reports received on time</v>
      </c>
      <c r="C22" s="603"/>
      <c r="D22" s="604"/>
      <c r="E22" s="605" t="s">
        <v>407</v>
      </c>
      <c r="F22" s="612"/>
      <c r="G22" s="612"/>
      <c r="H22" s="612"/>
      <c r="I22" s="613"/>
      <c r="J22" s="545" t="s">
        <v>359</v>
      </c>
      <c r="K22" s="546"/>
      <c r="L22" s="547"/>
      <c r="M22" s="545" t="s">
        <v>280</v>
      </c>
      <c r="N22" s="546"/>
      <c r="O22" s="547"/>
    </row>
    <row r="23" spans="1:15" ht="207.75" customHeight="1">
      <c r="B23" s="606" t="str">
        <f>+'Data Entry'!B95</f>
        <v>M5: Budget and Procurement of health products, health equipment, medicines and pharmaceuticals</v>
      </c>
      <c r="C23" s="607"/>
      <c r="D23" s="608"/>
      <c r="E23" s="614" t="s">
        <v>360</v>
      </c>
      <c r="F23" s="615"/>
      <c r="G23" s="615"/>
      <c r="H23" s="615"/>
      <c r="I23" s="616"/>
      <c r="J23" s="626" t="s">
        <v>276</v>
      </c>
      <c r="K23" s="627"/>
      <c r="L23" s="628"/>
      <c r="M23" s="626" t="s">
        <v>281</v>
      </c>
      <c r="N23" s="627"/>
      <c r="O23" s="628"/>
    </row>
    <row r="24" spans="1:15" ht="114.75" customHeight="1">
      <c r="B24" s="609"/>
      <c r="C24" s="610"/>
      <c r="D24" s="611"/>
      <c r="E24" s="617" t="s">
        <v>355</v>
      </c>
      <c r="F24" s="618"/>
      <c r="G24" s="618"/>
      <c r="H24" s="618"/>
      <c r="I24" s="619"/>
      <c r="J24" s="629"/>
      <c r="K24" s="630"/>
      <c r="L24" s="631"/>
      <c r="M24" s="629"/>
      <c r="N24" s="630"/>
      <c r="O24" s="631"/>
    </row>
    <row r="25" spans="1:15" ht="409.5" customHeight="1">
      <c r="B25" s="570" t="str">
        <f>+'Data Entry'!B108</f>
        <v>M6: Difference between current and safety stock</v>
      </c>
      <c r="C25" s="603"/>
      <c r="D25" s="604"/>
      <c r="E25" s="637" t="s">
        <v>408</v>
      </c>
      <c r="F25" s="638"/>
      <c r="G25" s="638"/>
      <c r="H25" s="638"/>
      <c r="I25" s="639"/>
      <c r="J25" s="623" t="s">
        <v>361</v>
      </c>
      <c r="K25" s="624"/>
      <c r="L25" s="625"/>
      <c r="M25" s="620" t="s">
        <v>366</v>
      </c>
      <c r="N25" s="621"/>
      <c r="O25" s="622"/>
    </row>
    <row r="29" spans="1:15" ht="18.5">
      <c r="B29" s="255"/>
    </row>
    <row r="30" spans="1:15" ht="23.5">
      <c r="B30" s="557" t="s">
        <v>297</v>
      </c>
      <c r="C30" s="557"/>
      <c r="D30" s="557"/>
      <c r="E30" s="557"/>
      <c r="F30" s="557"/>
      <c r="G30" s="557"/>
      <c r="H30" s="557"/>
      <c r="I30" s="557"/>
      <c r="J30" s="557"/>
      <c r="K30" s="557"/>
      <c r="L30" s="557"/>
      <c r="M30" s="557"/>
      <c r="N30" s="557"/>
      <c r="O30" s="557"/>
    </row>
    <row r="32" spans="1:15" ht="28.5" customHeight="1">
      <c r="A32" s="246"/>
      <c r="B32" s="576" t="s">
        <v>345</v>
      </c>
      <c r="C32" s="577"/>
      <c r="D32" s="578"/>
      <c r="E32" s="579" t="s">
        <v>303</v>
      </c>
      <c r="F32" s="580"/>
      <c r="G32" s="580"/>
      <c r="H32" s="580"/>
      <c r="I32" s="581"/>
      <c r="J32" s="579" t="s">
        <v>274</v>
      </c>
      <c r="K32" s="580"/>
      <c r="L32" s="581"/>
      <c r="M32" s="579" t="s">
        <v>275</v>
      </c>
      <c r="N32" s="580"/>
      <c r="O32" s="581"/>
    </row>
    <row r="33" spans="1:15" ht="122.25" customHeight="1">
      <c r="A33" s="247"/>
      <c r="B33" s="594" t="s">
        <v>473</v>
      </c>
      <c r="C33" s="595"/>
      <c r="D33" s="596"/>
      <c r="E33" s="597" t="s">
        <v>481</v>
      </c>
      <c r="F33" s="598"/>
      <c r="G33" s="598"/>
      <c r="H33" s="598"/>
      <c r="I33" s="599"/>
      <c r="J33" s="591" t="s">
        <v>493</v>
      </c>
      <c r="K33" s="592"/>
      <c r="L33" s="593"/>
      <c r="M33" s="591" t="s">
        <v>490</v>
      </c>
      <c r="N33" s="592"/>
      <c r="O33" s="593"/>
    </row>
    <row r="34" spans="1:15" ht="88.5" customHeight="1">
      <c r="A34" s="247"/>
      <c r="B34" s="594" t="s">
        <v>474</v>
      </c>
      <c r="C34" s="595"/>
      <c r="D34" s="596"/>
      <c r="E34" s="597" t="s">
        <v>482</v>
      </c>
      <c r="F34" s="598"/>
      <c r="G34" s="598"/>
      <c r="H34" s="598"/>
      <c r="I34" s="599"/>
      <c r="J34" s="591" t="s">
        <v>493</v>
      </c>
      <c r="K34" s="592"/>
      <c r="L34" s="593"/>
      <c r="M34" s="591" t="s">
        <v>490</v>
      </c>
      <c r="N34" s="592"/>
      <c r="O34" s="593"/>
    </row>
    <row r="35" spans="1:15" ht="103.5" customHeight="1">
      <c r="A35" s="247"/>
      <c r="B35" s="594" t="s">
        <v>475</v>
      </c>
      <c r="C35" s="595"/>
      <c r="D35" s="596"/>
      <c r="E35" s="591" t="s">
        <v>483</v>
      </c>
      <c r="F35" s="592"/>
      <c r="G35" s="592"/>
      <c r="H35" s="592"/>
      <c r="I35" s="593"/>
      <c r="J35" s="591" t="s">
        <v>493</v>
      </c>
      <c r="K35" s="592"/>
      <c r="L35" s="593"/>
      <c r="M35" s="591" t="s">
        <v>490</v>
      </c>
      <c r="N35" s="592"/>
      <c r="O35" s="593"/>
    </row>
    <row r="36" spans="1:15" ht="9.75" customHeight="1">
      <c r="A36" s="247"/>
      <c r="B36" s="634"/>
      <c r="C36" s="635"/>
      <c r="D36" s="636"/>
      <c r="E36" s="248"/>
      <c r="F36" s="249"/>
      <c r="G36" s="249"/>
      <c r="H36" s="249"/>
      <c r="I36" s="250"/>
      <c r="J36" s="266"/>
      <c r="K36" s="267"/>
      <c r="L36" s="268"/>
      <c r="M36" s="266"/>
      <c r="N36" s="267"/>
      <c r="O36" s="268"/>
    </row>
    <row r="37" spans="1:15" ht="94.5" customHeight="1">
      <c r="A37" s="247"/>
      <c r="B37" s="594" t="s">
        <v>476</v>
      </c>
      <c r="C37" s="595"/>
      <c r="D37" s="596"/>
      <c r="E37" s="591" t="s">
        <v>484</v>
      </c>
      <c r="F37" s="632"/>
      <c r="G37" s="632"/>
      <c r="H37" s="632"/>
      <c r="I37" s="633"/>
      <c r="J37" s="591" t="s">
        <v>493</v>
      </c>
      <c r="K37" s="592"/>
      <c r="L37" s="593"/>
      <c r="M37" s="591" t="s">
        <v>490</v>
      </c>
      <c r="N37" s="592"/>
      <c r="O37" s="593"/>
    </row>
    <row r="38" spans="1:15" ht="130.5" customHeight="1">
      <c r="A38" s="247"/>
      <c r="B38" s="594" t="s">
        <v>477</v>
      </c>
      <c r="C38" s="595"/>
      <c r="D38" s="596"/>
      <c r="E38" s="597" t="s">
        <v>485</v>
      </c>
      <c r="F38" s="598"/>
      <c r="G38" s="598"/>
      <c r="H38" s="598"/>
      <c r="I38" s="599"/>
      <c r="J38" s="591" t="s">
        <v>493</v>
      </c>
      <c r="K38" s="592"/>
      <c r="L38" s="593"/>
      <c r="M38" s="591" t="s">
        <v>492</v>
      </c>
      <c r="N38" s="592"/>
      <c r="O38" s="593"/>
    </row>
    <row r="39" spans="1:15" ht="102.75" customHeight="1">
      <c r="A39" s="247"/>
      <c r="B39" s="594" t="s">
        <v>478</v>
      </c>
      <c r="C39" s="595"/>
      <c r="D39" s="596"/>
      <c r="E39" s="591" t="s">
        <v>486</v>
      </c>
      <c r="F39" s="592"/>
      <c r="G39" s="592"/>
      <c r="H39" s="592"/>
      <c r="I39" s="593"/>
      <c r="J39" s="591" t="s">
        <v>493</v>
      </c>
      <c r="K39" s="592"/>
      <c r="L39" s="593"/>
      <c r="M39" s="591" t="s">
        <v>490</v>
      </c>
      <c r="N39" s="592"/>
      <c r="O39" s="593"/>
    </row>
    <row r="40" spans="1:15" ht="81.75" customHeight="1">
      <c r="A40" s="247"/>
      <c r="B40" s="643" t="s">
        <v>479</v>
      </c>
      <c r="C40" s="644"/>
      <c r="D40" s="645"/>
      <c r="E40" s="640" t="s">
        <v>487</v>
      </c>
      <c r="F40" s="641"/>
      <c r="G40" s="641"/>
      <c r="H40" s="641"/>
      <c r="I40" s="642"/>
      <c r="J40" s="591" t="s">
        <v>493</v>
      </c>
      <c r="K40" s="592"/>
      <c r="L40" s="593"/>
      <c r="M40" s="591" t="s">
        <v>490</v>
      </c>
      <c r="N40" s="592"/>
      <c r="O40" s="593"/>
    </row>
    <row r="41" spans="1:15" ht="102.75" customHeight="1">
      <c r="A41" s="247"/>
      <c r="B41" s="600" t="s">
        <v>480</v>
      </c>
      <c r="C41" s="601"/>
      <c r="D41" s="602"/>
      <c r="E41" s="597" t="s">
        <v>488</v>
      </c>
      <c r="F41" s="598"/>
      <c r="G41" s="598"/>
      <c r="H41" s="598"/>
      <c r="I41" s="599"/>
      <c r="J41" s="591" t="s">
        <v>489</v>
      </c>
      <c r="K41" s="592"/>
      <c r="L41" s="593"/>
      <c r="M41" s="591" t="s">
        <v>491</v>
      </c>
      <c r="N41" s="592"/>
      <c r="O41" s="593"/>
    </row>
    <row r="42" spans="1:15" ht="84" customHeight="1">
      <c r="A42" s="247"/>
      <c r="B42" s="600"/>
      <c r="C42" s="601"/>
      <c r="D42" s="602"/>
      <c r="E42" s="591"/>
      <c r="F42" s="592"/>
      <c r="G42" s="592"/>
      <c r="H42" s="592"/>
      <c r="I42" s="593"/>
      <c r="J42" s="261"/>
      <c r="K42" s="262"/>
      <c r="L42" s="263"/>
      <c r="M42" s="261"/>
      <c r="N42" s="262"/>
      <c r="O42" s="263"/>
    </row>
    <row r="43" spans="1:15" ht="45" customHeight="1">
      <c r="A43" s="247"/>
      <c r="B43" s="600"/>
      <c r="C43" s="601"/>
      <c r="D43" s="602"/>
      <c r="E43" s="597"/>
      <c r="F43" s="598"/>
      <c r="G43" s="598"/>
      <c r="H43" s="598"/>
      <c r="I43" s="599"/>
      <c r="J43" s="591"/>
      <c r="K43" s="592"/>
      <c r="L43" s="593"/>
      <c r="M43" s="261"/>
      <c r="N43" s="262"/>
      <c r="O43" s="263"/>
    </row>
    <row r="44" spans="1:15" ht="64.5" customHeight="1">
      <c r="A44" s="247"/>
      <c r="B44" s="643"/>
      <c r="C44" s="644"/>
      <c r="D44" s="645"/>
      <c r="E44" s="597"/>
      <c r="F44" s="598"/>
      <c r="G44" s="598"/>
      <c r="H44" s="598"/>
      <c r="I44" s="599"/>
      <c r="J44" s="591"/>
      <c r="K44" s="592"/>
      <c r="L44" s="593"/>
      <c r="M44" s="261"/>
      <c r="N44" s="262"/>
      <c r="O44" s="263"/>
    </row>
    <row r="45" spans="1:15" ht="49.5" customHeight="1">
      <c r="B45" s="643"/>
      <c r="C45" s="644"/>
      <c r="D45" s="645"/>
      <c r="E45" s="597"/>
      <c r="F45" s="598"/>
      <c r="G45" s="598"/>
      <c r="H45" s="598"/>
      <c r="I45" s="599"/>
      <c r="J45" s="591"/>
      <c r="K45" s="592"/>
      <c r="L45" s="593"/>
      <c r="M45" s="261"/>
      <c r="N45" s="262"/>
      <c r="O45" s="263"/>
    </row>
    <row r="46" spans="1:15" ht="30" customHeight="1">
      <c r="B46" s="646"/>
      <c r="C46" s="647"/>
      <c r="D46" s="648"/>
      <c r="E46" s="251"/>
      <c r="F46" s="252"/>
      <c r="G46" s="252"/>
      <c r="H46" s="252"/>
      <c r="I46" s="253"/>
      <c r="J46" s="261"/>
      <c r="K46" s="262"/>
      <c r="L46" s="263"/>
      <c r="M46" s="261"/>
      <c r="N46" s="262"/>
      <c r="O46" s="263"/>
    </row>
    <row r="47" spans="1:15" ht="44.25" customHeight="1">
      <c r="B47" s="585" t="s">
        <v>298</v>
      </c>
      <c r="C47" s="586"/>
      <c r="D47" s="587"/>
      <c r="E47" s="588" t="s">
        <v>273</v>
      </c>
      <c r="F47" s="589"/>
      <c r="G47" s="589"/>
      <c r="H47" s="589"/>
      <c r="I47" s="590"/>
      <c r="J47" s="588" t="s">
        <v>274</v>
      </c>
      <c r="K47" s="589"/>
      <c r="L47" s="590"/>
      <c r="M47" s="588" t="s">
        <v>275</v>
      </c>
      <c r="N47" s="589"/>
      <c r="O47" s="590"/>
    </row>
    <row r="48" spans="1:15" ht="33.75" customHeight="1">
      <c r="B48" s="242"/>
      <c r="C48" s="243"/>
      <c r="D48" s="243"/>
      <c r="E48" s="236"/>
      <c r="F48" s="238"/>
      <c r="G48" s="238"/>
      <c r="H48" s="238"/>
      <c r="I48" s="238"/>
      <c r="J48" s="236"/>
      <c r="K48" s="236"/>
      <c r="L48" s="237"/>
      <c r="M48" s="235"/>
      <c r="N48" s="236"/>
      <c r="O48" s="237"/>
    </row>
    <row r="49" spans="2:15" ht="15.75" customHeight="1">
      <c r="B49" s="582" t="s">
        <v>295</v>
      </c>
      <c r="C49" s="583"/>
      <c r="D49" s="583"/>
      <c r="E49" s="583"/>
      <c r="F49" s="583"/>
      <c r="G49" s="583"/>
      <c r="H49" s="583"/>
      <c r="I49" s="583"/>
      <c r="J49" s="583"/>
      <c r="K49" s="583"/>
      <c r="L49" s="584"/>
      <c r="M49" s="573" t="s">
        <v>285</v>
      </c>
      <c r="N49" s="574"/>
      <c r="O49" s="575"/>
    </row>
    <row r="50" spans="2:15">
      <c r="D50" s="222"/>
    </row>
    <row r="52" spans="2:15">
      <c r="D52" s="222"/>
    </row>
    <row r="53" spans="2:15">
      <c r="D53" s="222"/>
    </row>
    <row r="71" spans="6:6">
      <c r="F71" s="533"/>
    </row>
    <row r="72" spans="6:6">
      <c r="F72" s="533"/>
    </row>
    <row r="73" spans="6:6">
      <c r="F73" s="533"/>
    </row>
    <row r="74" spans="6:6">
      <c r="F74" s="533"/>
    </row>
    <row r="75" spans="6:6">
      <c r="F75" s="533"/>
    </row>
    <row r="76" spans="6:6">
      <c r="F76" s="533"/>
    </row>
    <row r="77" spans="6:6">
      <c r="F77" s="533"/>
    </row>
    <row r="78" spans="6:6">
      <c r="F78" s="533"/>
    </row>
  </sheetData>
  <mergeCells count="124">
    <mergeCell ref="B41:D41"/>
    <mergeCell ref="B40:D40"/>
    <mergeCell ref="E41:I41"/>
    <mergeCell ref="B46:D46"/>
    <mergeCell ref="J43:L43"/>
    <mergeCell ref="J44:L44"/>
    <mergeCell ref="J45:L45"/>
    <mergeCell ref="E44:I44"/>
    <mergeCell ref="B44:D44"/>
    <mergeCell ref="B45:D45"/>
    <mergeCell ref="E45:I45"/>
    <mergeCell ref="B43:D43"/>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J37:L37"/>
    <mergeCell ref="J39:L39"/>
    <mergeCell ref="M37:O37"/>
    <mergeCell ref="M39:O39"/>
    <mergeCell ref="J20:L20"/>
    <mergeCell ref="M20:O20"/>
    <mergeCell ref="M25:O25"/>
    <mergeCell ref="J25:L25"/>
    <mergeCell ref="J21:L21"/>
    <mergeCell ref="M21:O21"/>
    <mergeCell ref="J23:L24"/>
    <mergeCell ref="M22:O22"/>
    <mergeCell ref="M23:O24"/>
    <mergeCell ref="J22:L22"/>
    <mergeCell ref="B20:D20"/>
    <mergeCell ref="E20:I20"/>
    <mergeCell ref="B21:D21"/>
    <mergeCell ref="E21:I21"/>
    <mergeCell ref="B22:D22"/>
    <mergeCell ref="B23:D24"/>
    <mergeCell ref="B14:D14"/>
    <mergeCell ref="E14:I14"/>
    <mergeCell ref="B19:D19"/>
    <mergeCell ref="E22:I22"/>
    <mergeCell ref="E23:I23"/>
    <mergeCell ref="E24:I24"/>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5"/>
  <sheetViews>
    <sheetView showGridLines="0" topLeftCell="K110" zoomScale="84" zoomScaleNormal="80" zoomScalePageLayoutView="90" workbookViewId="0">
      <selection activeCell="S136" sqref="S136"/>
    </sheetView>
  </sheetViews>
  <sheetFormatPr defaultColWidth="11" defaultRowHeight="14.5"/>
  <cols>
    <col min="1" max="1" width="2.6328125" customWidth="1"/>
    <col min="2" max="2" width="46.1796875" customWidth="1"/>
    <col min="3" max="3" width="36" customWidth="1"/>
    <col min="4" max="4" width="19.1796875" customWidth="1"/>
    <col min="5" max="5" width="22.1796875" customWidth="1"/>
    <col min="6" max="6" width="17.453125" customWidth="1"/>
    <col min="7" max="7" width="16.453125" customWidth="1"/>
    <col min="8" max="8" width="17.453125" customWidth="1"/>
    <col min="9" max="9" width="16.36328125" customWidth="1"/>
    <col min="10" max="10" width="16.81640625" customWidth="1"/>
    <col min="11" max="11" width="16" customWidth="1"/>
    <col min="12" max="12" width="15.36328125" customWidth="1"/>
    <col min="13" max="13" width="15.453125" customWidth="1"/>
    <col min="14" max="14" width="14.36328125" style="36" customWidth="1"/>
    <col min="15" max="15" width="15.453125" style="36" customWidth="1"/>
    <col min="16" max="16" width="19.453125" customWidth="1"/>
    <col min="17" max="17" width="16.1796875" customWidth="1"/>
    <col min="18" max="18" width="13.6328125" customWidth="1"/>
    <col min="19" max="19" width="13.453125" customWidth="1"/>
    <col min="20" max="20" width="14.81640625" customWidth="1"/>
    <col min="21" max="21" width="16" customWidth="1"/>
    <col min="22" max="22" width="11.453125" hidden="1" customWidth="1"/>
    <col min="23" max="23" width="15.453125" customWidth="1"/>
    <col min="24" max="24" width="11.453125" customWidth="1"/>
    <col min="25" max="25" width="2.36328125" customWidth="1"/>
    <col min="26" max="26" width="1.1796875" customWidth="1"/>
    <col min="27" max="27" width="3.36328125" customWidth="1"/>
    <col min="28" max="28" width="17" customWidth="1"/>
    <col min="29" max="29" width="15" customWidth="1"/>
    <col min="30" max="30" width="11.453125" customWidth="1"/>
    <col min="31" max="31" width="13.453125" customWidth="1"/>
    <col min="32" max="32" width="16.81640625" customWidth="1"/>
    <col min="33" max="33" width="11.453125" customWidth="1"/>
    <col min="34" max="34" width="2" style="36" customWidth="1"/>
    <col min="35" max="35" width="3.36328125" style="36" customWidth="1"/>
    <col min="36" max="36" width="2.36328125" style="36" customWidth="1"/>
    <col min="37" max="37" width="40.6328125" customWidth="1"/>
    <col min="38" max="38" width="15.453125" customWidth="1"/>
  </cols>
  <sheetData>
    <row r="1" spans="1:13" ht="29.25" customHeight="1">
      <c r="A1" s="3"/>
      <c r="B1" s="3"/>
      <c r="C1" s="3"/>
      <c r="D1" s="3"/>
      <c r="E1" s="3"/>
      <c r="F1" s="3"/>
      <c r="G1" s="3"/>
      <c r="H1" s="3"/>
      <c r="I1" s="3"/>
      <c r="J1" s="3"/>
      <c r="K1" s="3"/>
      <c r="L1" s="3"/>
      <c r="M1" s="3"/>
    </row>
    <row r="2" spans="1:13" ht="15.75" customHeight="1">
      <c r="A2" s="3"/>
      <c r="B2" s="696" t="s">
        <v>373</v>
      </c>
      <c r="C2" s="696"/>
      <c r="D2" s="696"/>
      <c r="E2" s="696"/>
      <c r="F2" s="696"/>
      <c r="G2" s="696"/>
      <c r="H2" s="696"/>
      <c r="I2" s="696"/>
      <c r="J2" s="696"/>
      <c r="K2" s="283"/>
      <c r="L2" s="283"/>
      <c r="M2" s="283"/>
    </row>
    <row r="3" spans="1:13" ht="4.5" customHeight="1">
      <c r="A3" s="3"/>
      <c r="B3" s="3"/>
      <c r="C3" s="3"/>
      <c r="D3" s="3"/>
      <c r="E3" s="3"/>
      <c r="F3" s="3"/>
      <c r="G3" s="3"/>
      <c r="H3" s="3"/>
      <c r="I3" s="3"/>
      <c r="J3" s="3"/>
      <c r="K3" s="3"/>
      <c r="L3" s="3"/>
      <c r="M3" s="3"/>
    </row>
    <row r="4" spans="1:13">
      <c r="A4" s="3"/>
      <c r="B4" s="281" t="s">
        <v>25</v>
      </c>
      <c r="C4" s="729" t="s">
        <v>176</v>
      </c>
      <c r="D4" s="730"/>
      <c r="E4" s="702" t="s">
        <v>11</v>
      </c>
      <c r="F4" s="702"/>
      <c r="G4" s="731" t="s">
        <v>439</v>
      </c>
      <c r="H4" s="732"/>
      <c r="I4" s="732"/>
      <c r="J4" s="733"/>
      <c r="K4" s="3"/>
      <c r="L4" s="3"/>
      <c r="M4" s="3"/>
    </row>
    <row r="5" spans="1:13" ht="3" customHeight="1">
      <c r="A5" s="3"/>
      <c r="B5" s="281"/>
      <c r="C5" s="3"/>
      <c r="D5" s="3"/>
      <c r="E5" s="284"/>
      <c r="F5" s="284"/>
      <c r="G5" s="3"/>
      <c r="H5" s="3"/>
      <c r="I5" s="3"/>
      <c r="J5" s="3"/>
      <c r="K5" s="3"/>
      <c r="L5" s="3"/>
      <c r="M5" s="3"/>
    </row>
    <row r="6" spans="1:13">
      <c r="A6" s="3"/>
      <c r="B6" s="281" t="s">
        <v>116</v>
      </c>
      <c r="C6" s="729" t="s">
        <v>413</v>
      </c>
      <c r="D6" s="730"/>
      <c r="E6" s="702" t="s">
        <v>26</v>
      </c>
      <c r="F6" s="702"/>
      <c r="G6" s="311" t="s">
        <v>27</v>
      </c>
      <c r="H6" s="281" t="s">
        <v>321</v>
      </c>
      <c r="I6" s="736">
        <v>17962183.992709801</v>
      </c>
      <c r="J6" s="737"/>
      <c r="K6" s="3"/>
      <c r="L6" s="3"/>
      <c r="M6" s="3"/>
    </row>
    <row r="7" spans="1:13" ht="3" customHeight="1">
      <c r="A7" s="3"/>
      <c r="B7" s="281"/>
      <c r="C7" s="3"/>
      <c r="D7" s="3"/>
      <c r="E7" s="284"/>
      <c r="F7" s="284"/>
      <c r="G7" s="3"/>
      <c r="H7" s="281"/>
      <c r="I7" s="3"/>
      <c r="J7" s="3"/>
      <c r="K7" s="3"/>
      <c r="L7" s="3"/>
      <c r="M7" s="3"/>
    </row>
    <row r="8" spans="1:13">
      <c r="A8" s="3"/>
      <c r="B8" s="281" t="s">
        <v>268</v>
      </c>
      <c r="C8" s="729" t="s">
        <v>414</v>
      </c>
      <c r="D8" s="730"/>
      <c r="E8" s="285"/>
      <c r="F8" s="280" t="s">
        <v>323</v>
      </c>
      <c r="G8" s="311" t="s">
        <v>438</v>
      </c>
      <c r="H8" s="280" t="s">
        <v>322</v>
      </c>
      <c r="I8" s="736" t="s">
        <v>437</v>
      </c>
      <c r="J8" s="737"/>
      <c r="K8" s="3"/>
      <c r="L8" s="3"/>
      <c r="M8" s="3"/>
    </row>
    <row r="9" spans="1:13" ht="3" customHeight="1">
      <c r="A9" s="3"/>
      <c r="B9" s="284"/>
      <c r="C9" s="3"/>
      <c r="D9" s="3"/>
      <c r="E9" s="284"/>
      <c r="F9" s="284"/>
      <c r="G9" s="3"/>
      <c r="H9" s="3"/>
      <c r="I9" s="3"/>
      <c r="J9" s="3"/>
      <c r="K9" s="3"/>
      <c r="L9" s="3"/>
      <c r="M9" s="3"/>
    </row>
    <row r="10" spans="1:13">
      <c r="A10" s="3"/>
      <c r="B10" s="281" t="s">
        <v>402</v>
      </c>
      <c r="C10" s="740">
        <v>42552</v>
      </c>
      <c r="D10" s="741"/>
      <c r="E10" s="734" t="s">
        <v>30</v>
      </c>
      <c r="F10" s="735"/>
      <c r="G10" s="729" t="s">
        <v>262</v>
      </c>
      <c r="H10" s="739"/>
      <c r="I10" s="739"/>
      <c r="J10" s="730"/>
      <c r="K10" s="3"/>
      <c r="L10" s="3"/>
      <c r="M10" s="3"/>
    </row>
    <row r="11" spans="1:13" ht="5.25" customHeight="1">
      <c r="A11" s="3"/>
      <c r="B11" s="3"/>
      <c r="C11" s="3"/>
      <c r="D11" s="3"/>
      <c r="E11" s="3"/>
      <c r="F11" s="3"/>
      <c r="G11" s="3"/>
      <c r="H11" s="3"/>
      <c r="I11" s="3"/>
      <c r="J11" s="3"/>
      <c r="K11" s="3"/>
      <c r="L11" s="3"/>
      <c r="M11" s="3"/>
    </row>
    <row r="12" spans="1:13" ht="15" customHeight="1">
      <c r="A12" s="3"/>
      <c r="B12" s="281" t="s">
        <v>28</v>
      </c>
      <c r="C12" s="742" t="s">
        <v>45</v>
      </c>
      <c r="D12" s="742"/>
      <c r="E12" s="734" t="s">
        <v>289</v>
      </c>
      <c r="F12" s="702"/>
      <c r="G12" s="738" t="s">
        <v>472</v>
      </c>
      <c r="H12" s="738"/>
      <c r="I12" s="738"/>
      <c r="J12" s="738"/>
      <c r="K12" s="3"/>
      <c r="L12" s="3"/>
      <c r="M12" s="3"/>
    </row>
    <row r="13" spans="1:13" ht="5.25" customHeight="1">
      <c r="A13" s="3"/>
      <c r="B13" s="3"/>
      <c r="C13" s="3"/>
      <c r="D13" s="3"/>
      <c r="E13" s="3"/>
      <c r="F13" s="3"/>
      <c r="G13" s="3"/>
      <c r="H13" s="3"/>
      <c r="I13" s="3"/>
      <c r="J13" s="3"/>
      <c r="K13" s="3"/>
      <c r="L13" s="3"/>
      <c r="M13" s="3"/>
    </row>
    <row r="14" spans="1:13" ht="15.75" customHeight="1">
      <c r="A14" s="3"/>
      <c r="B14" s="696" t="s">
        <v>2</v>
      </c>
      <c r="C14" s="696"/>
      <c r="D14" s="696"/>
      <c r="E14" s="696"/>
      <c r="F14" s="696"/>
      <c r="G14" s="696"/>
      <c r="H14" s="696"/>
      <c r="I14" s="696"/>
      <c r="J14" s="696"/>
      <c r="K14" s="3"/>
      <c r="L14" s="3"/>
      <c r="M14" s="3"/>
    </row>
    <row r="15" spans="1:13" ht="3" customHeight="1">
      <c r="A15" s="3"/>
      <c r="B15" s="3"/>
      <c r="C15" s="3"/>
      <c r="D15" s="3"/>
      <c r="E15" s="3"/>
      <c r="F15" s="3"/>
      <c r="G15" s="3"/>
      <c r="H15" s="3"/>
      <c r="I15" s="3"/>
      <c r="J15" s="3"/>
      <c r="K15" s="3"/>
      <c r="L15" s="3"/>
      <c r="M15" s="3"/>
    </row>
    <row r="16" spans="1:13">
      <c r="A16" s="3"/>
      <c r="B16" s="281" t="s">
        <v>20</v>
      </c>
      <c r="C16" s="395" t="s">
        <v>287</v>
      </c>
      <c r="D16" s="280" t="s">
        <v>324</v>
      </c>
      <c r="E16" s="286">
        <v>43556</v>
      </c>
      <c r="F16" s="282" t="s">
        <v>8</v>
      </c>
      <c r="G16" s="286">
        <v>43646</v>
      </c>
      <c r="H16" s="734" t="s">
        <v>325</v>
      </c>
      <c r="I16" s="735"/>
      <c r="J16" s="286">
        <v>43697</v>
      </c>
      <c r="K16" s="3"/>
      <c r="L16" s="3"/>
      <c r="M16" s="3"/>
    </row>
    <row r="17" spans="1:35" ht="3" customHeight="1">
      <c r="A17" s="3"/>
      <c r="B17" s="3"/>
      <c r="C17" s="3"/>
      <c r="D17" s="3"/>
      <c r="E17" s="3"/>
      <c r="F17" s="3"/>
      <c r="G17" s="3"/>
      <c r="H17" s="3"/>
      <c r="I17" s="3"/>
      <c r="J17" s="3"/>
      <c r="K17" s="3"/>
      <c r="L17" s="3"/>
      <c r="M17" s="3"/>
    </row>
    <row r="18" spans="1:35">
      <c r="A18" s="3"/>
      <c r="B18" s="745" t="s">
        <v>31</v>
      </c>
      <c r="C18" s="735"/>
      <c r="D18" s="746" t="s">
        <v>415</v>
      </c>
      <c r="E18" s="746"/>
      <c r="F18" s="746"/>
      <c r="G18" s="287"/>
      <c r="H18" s="287"/>
      <c r="I18" s="287"/>
      <c r="J18" s="287"/>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96" t="s">
        <v>362</v>
      </c>
      <c r="C21" s="696"/>
      <c r="D21" s="696"/>
      <c r="E21" s="696"/>
      <c r="F21" s="696"/>
      <c r="G21" s="696"/>
      <c r="H21" s="696"/>
      <c r="I21" s="696"/>
      <c r="J21" s="696"/>
      <c r="K21" s="3"/>
      <c r="L21" s="3"/>
      <c r="M21" s="3"/>
    </row>
    <row r="22" spans="1:35">
      <c r="A22" s="3"/>
      <c r="B22" s="284" t="s">
        <v>3</v>
      </c>
      <c r="C22" s="3"/>
      <c r="D22" s="3"/>
      <c r="E22" s="288"/>
      <c r="F22" s="288"/>
      <c r="G22" s="3"/>
      <c r="H22" s="3"/>
      <c r="I22" s="288"/>
      <c r="J22" s="288"/>
      <c r="K22" s="3"/>
      <c r="L22" s="3"/>
      <c r="M22" s="3"/>
    </row>
    <row r="23" spans="1:35" ht="3" customHeight="1">
      <c r="A23" s="3"/>
      <c r="B23" s="3"/>
      <c r="C23" s="3"/>
      <c r="D23" s="3"/>
      <c r="E23" s="3"/>
      <c r="F23" s="3"/>
      <c r="G23" s="3"/>
      <c r="H23" s="3"/>
      <c r="I23" s="3"/>
      <c r="J23" s="3"/>
      <c r="K23" s="3"/>
      <c r="L23" s="3"/>
      <c r="M23" s="3"/>
    </row>
    <row r="24" spans="1:35" ht="15" thickBot="1">
      <c r="A24" s="3"/>
      <c r="B24" s="281" t="s">
        <v>398</v>
      </c>
      <c r="C24" s="386"/>
      <c r="D24" s="702" t="s">
        <v>399</v>
      </c>
      <c r="E24" s="702"/>
      <c r="F24" s="387"/>
      <c r="G24" s="702" t="s">
        <v>400</v>
      </c>
      <c r="H24" s="702"/>
      <c r="I24" s="694"/>
      <c r="J24" s="695"/>
      <c r="K24" s="3"/>
      <c r="L24" s="3"/>
      <c r="M24" s="3"/>
      <c r="N24" s="20"/>
    </row>
    <row r="25" spans="1:35" ht="19" thickBot="1">
      <c r="A25" s="3"/>
      <c r="B25" s="87" t="s">
        <v>398</v>
      </c>
      <c r="C25" s="88"/>
      <c r="D25" s="88"/>
      <c r="E25" s="88"/>
      <c r="F25" s="88"/>
      <c r="G25" s="88"/>
      <c r="H25" s="269"/>
      <c r="I25" s="89"/>
      <c r="J25" s="89"/>
      <c r="K25" s="269" t="s">
        <v>326</v>
      </c>
      <c r="L25" s="88"/>
      <c r="M25" s="88"/>
      <c r="N25" s="396"/>
      <c r="O25" s="40"/>
      <c r="AI25" s="44"/>
    </row>
    <row r="26" spans="1:35">
      <c r="A26" s="3"/>
      <c r="B26" s="707" t="s">
        <v>369</v>
      </c>
      <c r="C26" s="708"/>
      <c r="D26" s="406" t="s">
        <v>18</v>
      </c>
      <c r="E26" s="91"/>
      <c r="F26" s="91"/>
      <c r="G26" s="91"/>
      <c r="H26" s="91"/>
      <c r="I26" s="91"/>
      <c r="J26" s="92"/>
      <c r="K26" s="91"/>
      <c r="L26" s="91"/>
      <c r="M26" s="91"/>
      <c r="N26" s="40"/>
      <c r="O26" s="40"/>
      <c r="AI26" s="44"/>
    </row>
    <row r="27" spans="1:35" ht="18.5">
      <c r="A27" s="3"/>
      <c r="B27" s="90" t="s">
        <v>379</v>
      </c>
      <c r="C27" s="91"/>
      <c r="D27" s="91"/>
      <c r="E27" s="91"/>
      <c r="F27" s="91"/>
      <c r="G27" s="91"/>
      <c r="H27" s="91"/>
      <c r="I27" s="91"/>
      <c r="J27" s="92"/>
      <c r="K27" s="91"/>
      <c r="L27" s="91"/>
      <c r="M27" s="91"/>
      <c r="N27" s="40"/>
      <c r="O27" s="40"/>
      <c r="AI27" s="44"/>
    </row>
    <row r="28" spans="1:35" ht="15" thickBot="1">
      <c r="A28" s="3"/>
      <c r="B28" s="3"/>
      <c r="C28" s="3"/>
      <c r="D28" s="3"/>
      <c r="E28" s="3"/>
      <c r="F28" s="3"/>
      <c r="G28" s="3"/>
      <c r="H28" s="3"/>
      <c r="I28" s="3"/>
      <c r="J28" s="3"/>
      <c r="K28" s="3"/>
      <c r="L28" s="3"/>
      <c r="M28" s="3"/>
    </row>
    <row r="29" spans="1:35" ht="15" thickBot="1">
      <c r="A29" s="3"/>
      <c r="B29" s="748" t="s">
        <v>59</v>
      </c>
      <c r="C29" s="749"/>
      <c r="D29" s="749"/>
      <c r="E29" s="749"/>
      <c r="F29" s="749"/>
      <c r="G29" s="749"/>
      <c r="H29" s="749"/>
      <c r="I29" s="749"/>
      <c r="J29" s="749"/>
      <c r="K29" s="749"/>
      <c r="L29" s="749"/>
      <c r="M29" s="749"/>
      <c r="N29" s="750"/>
      <c r="P29" s="207"/>
      <c r="Q29" s="208"/>
      <c r="R29" s="209">
        <f>+C33</f>
        <v>1753207.6497905985</v>
      </c>
      <c r="S29" s="207"/>
    </row>
    <row r="30" spans="1:35">
      <c r="A30" s="3"/>
      <c r="B30" s="93" t="s">
        <v>267</v>
      </c>
      <c r="C30" s="365" t="s">
        <v>105</v>
      </c>
      <c r="D30" s="365" t="s">
        <v>106</v>
      </c>
      <c r="E30" s="365" t="s">
        <v>107</v>
      </c>
      <c r="F30" s="365" t="s">
        <v>108</v>
      </c>
      <c r="G30" s="365" t="s">
        <v>120</v>
      </c>
      <c r="H30" s="365" t="s">
        <v>121</v>
      </c>
      <c r="I30" s="365" t="s">
        <v>122</v>
      </c>
      <c r="J30" s="365" t="s">
        <v>123</v>
      </c>
      <c r="K30" s="365" t="s">
        <v>124</v>
      </c>
      <c r="L30" s="365" t="s">
        <v>125</v>
      </c>
      <c r="M30" s="365" t="s">
        <v>126</v>
      </c>
      <c r="N30" s="366" t="s">
        <v>287</v>
      </c>
      <c r="O30" s="367" t="s">
        <v>4</v>
      </c>
      <c r="P30" s="207"/>
      <c r="Q30" s="208"/>
      <c r="R30" s="209">
        <f>+D33</f>
        <v>3401736.7922998201</v>
      </c>
      <c r="S30" s="207"/>
    </row>
    <row r="31" spans="1:35">
      <c r="A31" s="3"/>
      <c r="B31" s="277" t="str">
        <f>CONCATENATE("Budget (in ",'Data Entry'!$D$26,")")</f>
        <v>Budget (in $)</v>
      </c>
      <c r="C31" s="377">
        <v>1753207.6497905985</v>
      </c>
      <c r="D31" s="376">
        <v>1648529.1425092216</v>
      </c>
      <c r="E31" s="376">
        <v>1203101.8906006217</v>
      </c>
      <c r="F31" s="376">
        <v>2402502.8144092588</v>
      </c>
      <c r="G31" s="376">
        <v>1065334.1015531267</v>
      </c>
      <c r="H31" s="376">
        <v>1449595.2447173872</v>
      </c>
      <c r="I31" s="376">
        <v>1017485.3641301848</v>
      </c>
      <c r="J31" s="376">
        <v>1381972.709636864</v>
      </c>
      <c r="K31" s="376">
        <v>1452287.9958838769</v>
      </c>
      <c r="L31" s="376">
        <v>1418021.7081180084</v>
      </c>
      <c r="M31" s="376">
        <v>1678154.3460412242</v>
      </c>
      <c r="N31" s="376">
        <v>1491991.025319383</v>
      </c>
      <c r="O31" s="685">
        <f>+SUM(C35:N35)</f>
        <v>0.96366220316111528</v>
      </c>
      <c r="P31" s="207"/>
      <c r="Q31" s="208"/>
      <c r="R31" s="209">
        <f>+E33</f>
        <v>4604838.6829004418</v>
      </c>
      <c r="S31" s="207"/>
    </row>
    <row r="32" spans="1:35">
      <c r="A32" s="3"/>
      <c r="B32" s="93" t="str">
        <f>CONCATENATE("Disbursements by GF (in ", $D$26,")")</f>
        <v>Disbursements by GF (in $)</v>
      </c>
      <c r="C32" s="377">
        <f>1284254+627977.72</f>
        <v>1912231.72</v>
      </c>
      <c r="D32" s="377">
        <v>2063549.52</v>
      </c>
      <c r="E32" s="377">
        <v>1240552.1499999999</v>
      </c>
      <c r="F32" s="376">
        <v>2624740.4699999997</v>
      </c>
      <c r="G32" s="377">
        <v>160958.97999999998</v>
      </c>
      <c r="H32" s="377">
        <v>1362781.42</v>
      </c>
      <c r="I32" s="515">
        <f>816070.3</f>
        <v>816070.3</v>
      </c>
      <c r="J32" s="515">
        <f>1865698.14</f>
        <v>1865698.14</v>
      </c>
      <c r="K32" s="515">
        <v>1436247.95</v>
      </c>
      <c r="L32" s="515">
        <v>1697024.4</v>
      </c>
      <c r="M32" s="376">
        <v>1013726.22</v>
      </c>
      <c r="N32" s="376">
        <v>1115896.53</v>
      </c>
      <c r="O32" s="686"/>
      <c r="P32" s="207"/>
      <c r="Q32" s="208"/>
      <c r="R32" s="209">
        <f>+F33</f>
        <v>7007341.4973097006</v>
      </c>
      <c r="S32" s="207"/>
    </row>
    <row r="33" spans="1:35">
      <c r="A33" s="3"/>
      <c r="B33" s="94" t="s">
        <v>385</v>
      </c>
      <c r="C33" s="378">
        <f>+C31</f>
        <v>1753207.6497905985</v>
      </c>
      <c r="D33" s="378">
        <f>IF(AND(D31=0,D32=0),0,+C33+D31)</f>
        <v>3401736.7922998201</v>
      </c>
      <c r="E33" s="378">
        <f t="shared" ref="E33:N33" si="0">IF(AND(E31=0,E32=0),0,+D33+E31)</f>
        <v>4604838.6829004418</v>
      </c>
      <c r="F33" s="378">
        <f t="shared" si="0"/>
        <v>7007341.4973097006</v>
      </c>
      <c r="G33" s="378">
        <f t="shared" si="0"/>
        <v>8072675.5988628268</v>
      </c>
      <c r="H33" s="378">
        <f t="shared" si="0"/>
        <v>9522270.8435802143</v>
      </c>
      <c r="I33" s="378">
        <f t="shared" si="0"/>
        <v>10539756.207710398</v>
      </c>
      <c r="J33" s="378">
        <f t="shared" si="0"/>
        <v>11921728.917347262</v>
      </c>
      <c r="K33" s="378">
        <f t="shared" si="0"/>
        <v>13374016.913231138</v>
      </c>
      <c r="L33" s="378">
        <f t="shared" si="0"/>
        <v>14792038.621349147</v>
      </c>
      <c r="M33" s="378">
        <f t="shared" si="0"/>
        <v>16470192.967390371</v>
      </c>
      <c r="N33" s="378">
        <f t="shared" si="0"/>
        <v>17962183.992709756</v>
      </c>
      <c r="O33" s="686"/>
      <c r="P33" s="359"/>
      <c r="Q33" s="208"/>
      <c r="R33" s="209">
        <f>+G33</f>
        <v>8072675.5988628268</v>
      </c>
      <c r="S33" s="207"/>
    </row>
    <row r="34" spans="1:35" ht="15" thickBot="1">
      <c r="A34" s="3"/>
      <c r="B34" s="95" t="s">
        <v>386</v>
      </c>
      <c r="C34" s="379">
        <f>+C32</f>
        <v>1912231.72</v>
      </c>
      <c r="D34" s="379">
        <f>IF(AND(D31=0,D32=0),0,+C34+D32)</f>
        <v>3975781.24</v>
      </c>
      <c r="E34" s="379">
        <f t="shared" ref="E34:N34" si="1">IF(AND(E31=0,E32=0),0,+D34+E32)</f>
        <v>5216333.3900000006</v>
      </c>
      <c r="F34" s="379">
        <f t="shared" si="1"/>
        <v>7841073.8600000003</v>
      </c>
      <c r="G34" s="379">
        <f>IF(AND(G31=0,G32=0),0,+F34+G32)</f>
        <v>8002032.8399999999</v>
      </c>
      <c r="H34" s="379">
        <f t="shared" si="1"/>
        <v>9364814.2599999998</v>
      </c>
      <c r="I34" s="379">
        <f t="shared" si="1"/>
        <v>10180884.560000001</v>
      </c>
      <c r="J34" s="379">
        <f t="shared" si="1"/>
        <v>12046582.700000001</v>
      </c>
      <c r="K34" s="379">
        <f t="shared" si="1"/>
        <v>13482830.65</v>
      </c>
      <c r="L34" s="379">
        <f t="shared" si="1"/>
        <v>15179855.050000001</v>
      </c>
      <c r="M34" s="379">
        <f>IF(AND(M31=0,M32=0),0,+L34+M32)</f>
        <v>16193581.270000001</v>
      </c>
      <c r="N34" s="379">
        <f t="shared" si="1"/>
        <v>17309477.800000001</v>
      </c>
      <c r="O34" s="687"/>
      <c r="P34" s="359"/>
      <c r="Q34" s="208"/>
      <c r="R34" s="209">
        <f>+H33</f>
        <v>9522270.8435802143</v>
      </c>
      <c r="S34" s="207"/>
    </row>
    <row r="35" spans="1:35">
      <c r="A35" s="3"/>
      <c r="B35" s="3"/>
      <c r="C35" s="339">
        <f>+IF(AND(C30=$C$16,C33&lt;&gt;0),C34/C33,0)</f>
        <v>0</v>
      </c>
      <c r="D35" s="339">
        <f t="shared" ref="D35:N35" si="2">+IF(AND(D30=$C$16,D33&lt;&gt;0),D34/D33,0)</f>
        <v>0</v>
      </c>
      <c r="E35" s="339">
        <f t="shared" si="2"/>
        <v>0</v>
      </c>
      <c r="F35" s="339">
        <f t="shared" si="2"/>
        <v>0</v>
      </c>
      <c r="G35" s="339">
        <f t="shared" si="2"/>
        <v>0</v>
      </c>
      <c r="H35" s="339">
        <f t="shared" si="2"/>
        <v>0</v>
      </c>
      <c r="I35" s="339">
        <f t="shared" si="2"/>
        <v>0</v>
      </c>
      <c r="J35" s="339">
        <f t="shared" si="2"/>
        <v>0</v>
      </c>
      <c r="K35" s="339">
        <f t="shared" si="2"/>
        <v>0</v>
      </c>
      <c r="L35" s="339">
        <f t="shared" si="2"/>
        <v>0</v>
      </c>
      <c r="M35" s="339">
        <f t="shared" si="2"/>
        <v>0</v>
      </c>
      <c r="N35" s="339">
        <f t="shared" si="2"/>
        <v>0.96366220316111528</v>
      </c>
      <c r="O35" s="289"/>
      <c r="P35" s="210"/>
      <c r="Q35" s="211"/>
      <c r="R35" s="209">
        <f>+I33</f>
        <v>10539756.207710398</v>
      </c>
      <c r="S35" s="207"/>
    </row>
    <row r="36" spans="1:35" ht="18.5">
      <c r="A36" s="3"/>
      <c r="B36" s="90" t="s">
        <v>378</v>
      </c>
      <c r="C36" s="3"/>
      <c r="D36" s="3"/>
      <c r="E36" s="353"/>
      <c r="F36" s="3"/>
      <c r="G36" s="260"/>
      <c r="H36" s="3"/>
      <c r="I36" s="3"/>
      <c r="J36" s="3"/>
      <c r="K36" s="3"/>
      <c r="L36" s="3"/>
      <c r="M36" s="3"/>
      <c r="N36" s="41"/>
      <c r="O36" s="41"/>
      <c r="AI36" s="20"/>
    </row>
    <row r="37" spans="1:35" ht="15" thickBot="1">
      <c r="A37" s="3"/>
      <c r="B37" s="3"/>
      <c r="C37" s="3"/>
      <c r="D37" s="3"/>
      <c r="E37" s="3"/>
      <c r="F37" s="3"/>
      <c r="G37" s="3"/>
      <c r="H37" s="3"/>
      <c r="I37" s="3"/>
      <c r="J37" s="3"/>
      <c r="K37" s="3"/>
      <c r="L37" s="3"/>
      <c r="M37" s="3"/>
      <c r="N37" s="39"/>
      <c r="O37" s="39"/>
    </row>
    <row r="38" spans="1:35" ht="30" customHeight="1">
      <c r="A38" s="3"/>
      <c r="B38" s="388" t="s">
        <v>401</v>
      </c>
      <c r="C38" s="389" t="str">
        <f>CONCATENATE("Cumulative Budget (in ",'Data Entry'!$D$26,")")</f>
        <v>Cumulative Budget (in $)</v>
      </c>
      <c r="D38" s="390" t="str">
        <f>CONCATENATE("Cumulative Expenditures (in ",'Data Entry'!$D$26,")")</f>
        <v>Cumulative Expenditures (in $)</v>
      </c>
      <c r="G38" s="3"/>
      <c r="H38" s="3"/>
      <c r="I38" s="3"/>
      <c r="J38" s="101"/>
      <c r="K38" s="42"/>
      <c r="N38"/>
      <c r="O38"/>
      <c r="AE38" s="20"/>
      <c r="AF38" s="36"/>
    </row>
    <row r="39" spans="1:35" ht="30" customHeight="1">
      <c r="A39" s="3"/>
      <c r="B39" s="391" t="s">
        <v>464</v>
      </c>
      <c r="C39" s="469">
        <v>1741903.0275764235</v>
      </c>
      <c r="D39" s="470">
        <v>1534389.9817185295</v>
      </c>
      <c r="E39" s="527"/>
      <c r="F39" s="231"/>
      <c r="G39" s="360"/>
      <c r="H39" s="3"/>
      <c r="I39" s="201"/>
      <c r="J39" s="102"/>
      <c r="K39" s="43"/>
      <c r="N39"/>
      <c r="O39"/>
      <c r="AE39" s="20"/>
      <c r="AF39" s="36"/>
    </row>
    <row r="40" spans="1:35" ht="27" customHeight="1">
      <c r="A40" s="3"/>
      <c r="B40" s="391" t="s">
        <v>465</v>
      </c>
      <c r="C40" s="469">
        <v>1055637.0045745978</v>
      </c>
      <c r="D40" s="470">
        <v>883215.67469442647</v>
      </c>
      <c r="E40" s="527"/>
      <c r="F40" s="231"/>
      <c r="G40" s="360"/>
      <c r="H40" s="3"/>
      <c r="I40" s="201"/>
      <c r="J40" s="3"/>
      <c r="K40" s="43"/>
      <c r="N40"/>
      <c r="O40"/>
      <c r="AE40" s="20"/>
      <c r="AF40" s="36"/>
    </row>
    <row r="41" spans="1:35" ht="29" customHeight="1">
      <c r="A41" s="3"/>
      <c r="B41" s="391" t="s">
        <v>466</v>
      </c>
      <c r="C41" s="469">
        <v>6178916.4567774143</v>
      </c>
      <c r="D41" s="470">
        <f>5568477.76333303-1022.78</f>
        <v>5567454.9833330298</v>
      </c>
      <c r="E41" s="527"/>
      <c r="F41" s="231"/>
      <c r="G41" s="360"/>
      <c r="H41" s="3"/>
      <c r="I41" s="201"/>
      <c r="J41" s="3"/>
      <c r="K41" s="43"/>
      <c r="N41"/>
      <c r="O41"/>
      <c r="AE41" s="20"/>
      <c r="AF41" s="36"/>
    </row>
    <row r="42" spans="1:35" ht="30" customHeight="1">
      <c r="A42" s="3"/>
      <c r="B42" s="391" t="s">
        <v>467</v>
      </c>
      <c r="C42" s="469">
        <v>211917.96969559696</v>
      </c>
      <c r="D42" s="470">
        <v>166259.67432590187</v>
      </c>
      <c r="E42" s="527"/>
      <c r="F42" s="231"/>
      <c r="G42" s="360"/>
      <c r="H42" s="3"/>
      <c r="I42" s="201"/>
      <c r="J42" s="3"/>
      <c r="K42" s="20"/>
      <c r="N42"/>
      <c r="O42"/>
      <c r="AE42" s="20"/>
      <c r="AF42" s="36"/>
    </row>
    <row r="43" spans="1:35">
      <c r="A43" s="3"/>
      <c r="B43" s="392" t="s">
        <v>419</v>
      </c>
      <c r="C43" s="469">
        <v>6152441.0630188268</v>
      </c>
      <c r="D43" s="470">
        <v>5593940.3347174497</v>
      </c>
      <c r="E43" s="527"/>
      <c r="F43" s="231"/>
      <c r="G43" s="360"/>
      <c r="H43" s="3"/>
      <c r="I43" s="201"/>
      <c r="J43" s="3"/>
      <c r="K43" s="20"/>
      <c r="N43"/>
      <c r="O43"/>
      <c r="AE43" s="20"/>
      <c r="AF43" s="36"/>
    </row>
    <row r="44" spans="1:35">
      <c r="A44" s="3"/>
      <c r="B44" s="392" t="s">
        <v>468</v>
      </c>
      <c r="C44" s="469">
        <v>574528.99723115994</v>
      </c>
      <c r="D44" s="470">
        <v>502515.68941586057</v>
      </c>
      <c r="E44" s="527"/>
      <c r="F44" s="231"/>
      <c r="G44" s="360"/>
      <c r="H44" s="3"/>
      <c r="I44" s="201"/>
      <c r="J44" s="3"/>
      <c r="K44" s="20"/>
      <c r="N44"/>
      <c r="O44"/>
      <c r="AE44" s="20"/>
      <c r="AF44" s="36"/>
    </row>
    <row r="45" spans="1:35" ht="29">
      <c r="A45" s="3"/>
      <c r="B45" s="391" t="s">
        <v>469</v>
      </c>
      <c r="C45" s="469">
        <v>495799.80786621501</v>
      </c>
      <c r="D45" s="470">
        <v>356584.74401097582</v>
      </c>
      <c r="E45" s="527"/>
      <c r="F45" s="231"/>
      <c r="G45" s="360"/>
      <c r="H45" s="15"/>
      <c r="I45" s="201"/>
      <c r="J45" s="15"/>
      <c r="K45" s="20"/>
      <c r="N45"/>
      <c r="O45"/>
      <c r="AE45" s="36"/>
      <c r="AF45" s="36"/>
    </row>
    <row r="46" spans="1:35">
      <c r="A46" s="3"/>
      <c r="B46" s="393" t="s">
        <v>420</v>
      </c>
      <c r="C46" s="469">
        <v>1118459.5019435394</v>
      </c>
      <c r="D46" s="470">
        <v>991318.21604001324</v>
      </c>
      <c r="E46" s="527"/>
      <c r="F46" s="231"/>
      <c r="G46" s="360"/>
      <c r="H46" s="15"/>
      <c r="I46" s="201"/>
      <c r="J46" s="15"/>
      <c r="K46" s="20"/>
      <c r="N46"/>
      <c r="O46"/>
      <c r="AE46" s="36"/>
      <c r="AF46" s="36"/>
    </row>
    <row r="47" spans="1:35" ht="14.25" customHeight="1">
      <c r="A47" s="3"/>
      <c r="B47" s="393" t="s">
        <v>461</v>
      </c>
      <c r="C47" s="469">
        <v>51625.74</v>
      </c>
      <c r="D47" s="470">
        <v>15548.589525680054</v>
      </c>
      <c r="E47" s="527"/>
      <c r="F47" s="231"/>
      <c r="G47" s="360"/>
      <c r="H47" s="15"/>
      <c r="I47" s="201"/>
      <c r="J47" s="15"/>
      <c r="K47" s="20"/>
      <c r="N47"/>
      <c r="O47"/>
      <c r="AE47" s="36"/>
      <c r="AF47" s="36"/>
    </row>
    <row r="48" spans="1:35">
      <c r="A48" s="3"/>
      <c r="B48" s="393" t="s">
        <v>462</v>
      </c>
      <c r="C48" s="469">
        <v>24991.532286198137</v>
      </c>
      <c r="D48" s="470">
        <v>19596.669629266573</v>
      </c>
      <c r="E48" s="527"/>
      <c r="F48" s="231"/>
      <c r="G48" s="360"/>
      <c r="H48" s="15"/>
      <c r="I48" s="201"/>
      <c r="J48" s="15"/>
      <c r="K48" s="20"/>
      <c r="N48"/>
      <c r="O48"/>
      <c r="AE48" s="36"/>
      <c r="AF48" s="36"/>
    </row>
    <row r="49" spans="1:35" ht="15" thickBot="1">
      <c r="A49" s="3"/>
      <c r="B49" s="393" t="s">
        <v>463</v>
      </c>
      <c r="C49" s="469">
        <v>355962.88569856051</v>
      </c>
      <c r="D49" s="470">
        <v>136711.75691206474</v>
      </c>
      <c r="E49" s="527"/>
      <c r="F49" s="231"/>
      <c r="G49" s="360"/>
      <c r="H49" s="15"/>
      <c r="I49" s="201"/>
      <c r="J49" s="15"/>
      <c r="K49" s="20"/>
      <c r="N49"/>
      <c r="O49"/>
      <c r="AE49" s="36"/>
      <c r="AF49" s="36"/>
    </row>
    <row r="50" spans="1:35" ht="15" thickBot="1">
      <c r="A50" s="3"/>
      <c r="B50" s="394" t="s">
        <v>58</v>
      </c>
      <c r="C50" s="471">
        <f>SUM(C39:C49)</f>
        <v>17962183.986668527</v>
      </c>
      <c r="D50" s="471">
        <f>SUM(D39:D49)</f>
        <v>15767536.314323198</v>
      </c>
      <c r="E50" s="289"/>
      <c r="F50" s="691" t="str">
        <f ca="1">+IF((ROUND(C50,0)=ROUND(OFFSET(B33,0,RIGHT('Data Entry'!$C$16,LEN('Data Entry'!$C$16)-1),1,1),0)),"OK: Data match","Warning: Data does not match")</f>
        <v>OK: Data match</v>
      </c>
      <c r="G50" s="692"/>
      <c r="H50" s="692"/>
      <c r="I50" s="693"/>
      <c r="J50" s="201"/>
      <c r="K50" s="201"/>
      <c r="L50" s="201"/>
      <c r="M50" s="210"/>
      <c r="N50" s="211"/>
      <c r="O50" s="209"/>
      <c r="P50" s="207"/>
      <c r="AE50" s="36"/>
      <c r="AF50" s="36"/>
    </row>
    <row r="51" spans="1:35">
      <c r="A51" s="3"/>
      <c r="B51" s="3"/>
      <c r="C51" s="201"/>
      <c r="D51" s="201"/>
      <c r="E51" s="272"/>
      <c r="F51" s="201"/>
      <c r="G51" s="201"/>
      <c r="H51" s="201"/>
      <c r="I51" s="201"/>
      <c r="J51" s="201"/>
      <c r="K51" s="201"/>
      <c r="L51" s="201"/>
      <c r="M51" s="201"/>
      <c r="N51" s="201"/>
      <c r="O51" s="201"/>
      <c r="P51" s="210"/>
      <c r="Q51" s="211"/>
      <c r="R51" s="209"/>
      <c r="S51" s="207"/>
    </row>
    <row r="52" spans="1:35" ht="18.5">
      <c r="A52" s="3"/>
      <c r="B52" s="90" t="s">
        <v>377</v>
      </c>
      <c r="C52" s="3"/>
      <c r="D52" s="3"/>
      <c r="E52" s="3"/>
      <c r="F52" s="3"/>
      <c r="G52" s="3"/>
      <c r="H52" s="3"/>
      <c r="I52" s="3"/>
      <c r="J52" s="3"/>
      <c r="K52" s="3"/>
      <c r="L52" s="3"/>
      <c r="M52" s="3"/>
      <c r="P52" s="207"/>
      <c r="Q52" s="208"/>
      <c r="R52" s="209">
        <f>+J33</f>
        <v>11921728.917347262</v>
      </c>
      <c r="S52" s="207"/>
    </row>
    <row r="53" spans="1:35" ht="15" thickBot="1">
      <c r="A53" s="3"/>
      <c r="B53" s="3"/>
      <c r="C53" s="3"/>
      <c r="D53" s="3"/>
      <c r="E53" s="3"/>
      <c r="F53" s="201"/>
      <c r="G53" s="3"/>
      <c r="H53" s="3"/>
      <c r="I53" s="3"/>
      <c r="J53" s="3"/>
      <c r="K53" s="3"/>
      <c r="L53" s="3"/>
      <c r="M53" s="3"/>
      <c r="P53" s="207"/>
      <c r="Q53" s="208"/>
      <c r="R53" s="209">
        <f>+K33</f>
        <v>13374016.913231138</v>
      </c>
      <c r="S53" s="207"/>
    </row>
    <row r="54" spans="1:35" ht="35.25" customHeight="1">
      <c r="A54" s="3"/>
      <c r="B54" s="294"/>
      <c r="C54" s="295" t="s">
        <v>375</v>
      </c>
      <c r="D54" s="295" t="s">
        <v>376</v>
      </c>
      <c r="E54" s="402" t="str">
        <f>CONCATENATE("Total Spent and Disbursement (in ",D26,")")</f>
        <v>Total Spent and Disbursement (in $)</v>
      </c>
      <c r="F54" s="3"/>
      <c r="G54" s="297"/>
      <c r="H54" s="291"/>
      <c r="I54" s="278"/>
      <c r="J54" s="278"/>
      <c r="K54" s="278"/>
      <c r="L54" s="278"/>
      <c r="M54" s="22"/>
      <c r="N54" s="22"/>
      <c r="O54" s="207"/>
      <c r="P54" s="208"/>
      <c r="Q54" s="209">
        <f>+M33</f>
        <v>16470192.967390371</v>
      </c>
      <c r="R54" s="207"/>
      <c r="AH54" s="20"/>
    </row>
    <row r="55" spans="1:35">
      <c r="A55" s="3"/>
      <c r="B55" s="292" t="s">
        <v>311</v>
      </c>
      <c r="C55" s="380">
        <f>C32+D32+E32+F32+G32+H32+I32+J32+K32+L32+M32</f>
        <v>16193581.270000001</v>
      </c>
      <c r="D55" s="381">
        <f>N32</f>
        <v>1115896.53</v>
      </c>
      <c r="E55" s="382">
        <f>+D55+C55</f>
        <v>17309477.800000001</v>
      </c>
      <c r="F55" s="3"/>
      <c r="G55" s="97"/>
      <c r="H55" s="296"/>
      <c r="I55" s="96"/>
      <c r="J55" s="204"/>
      <c r="K55" s="205"/>
      <c r="L55" s="98"/>
      <c r="M55" s="37"/>
      <c r="N55" s="37"/>
      <c r="O55" s="207"/>
      <c r="P55" s="207"/>
      <c r="Q55" s="207"/>
      <c r="R55" s="207"/>
      <c r="AH55" s="20"/>
    </row>
    <row r="56" spans="1:35">
      <c r="A56" s="3"/>
      <c r="B56" s="292" t="s">
        <v>290</v>
      </c>
      <c r="C56" s="530">
        <f>(703487.022184008+324022+486657.600967515+502177+724933+869904)+265380+627790+280383+677169.710278678-17837+25960.68-33565.54+204569</f>
        <v>5641030.4734302005</v>
      </c>
      <c r="D56" s="530">
        <v>853515.53663680039</v>
      </c>
      <c r="E56" s="382">
        <f>+D56+C56</f>
        <v>6494546.010067001</v>
      </c>
      <c r="F56" s="3"/>
      <c r="G56" s="3"/>
      <c r="H56" s="296"/>
      <c r="I56" s="96"/>
      <c r="J56" s="204"/>
      <c r="K56" s="204"/>
      <c r="L56" s="98"/>
      <c r="M56" s="38"/>
      <c r="N56" s="38"/>
      <c r="O56" s="207"/>
      <c r="P56" s="207"/>
      <c r="Q56" s="207"/>
      <c r="R56" s="207"/>
      <c r="AH56" s="20"/>
    </row>
    <row r="57" spans="1:35">
      <c r="A57" s="3"/>
      <c r="B57" s="292" t="s">
        <v>269</v>
      </c>
      <c r="C57" s="531">
        <f>(507991.098523064+830667+889412.602206352+996498+789637+724509)+742036+744440+742638+761546.201471184+17837-25960.68+32541.47+720807</f>
        <v>8474599.6922006011</v>
      </c>
      <c r="D57" s="530">
        <v>798390.61102648848</v>
      </c>
      <c r="E57" s="382">
        <f>+D57+C57</f>
        <v>9272990.3032270893</v>
      </c>
      <c r="F57" s="201"/>
      <c r="G57" s="3"/>
      <c r="H57" s="296"/>
      <c r="I57" s="96"/>
      <c r="J57" s="204"/>
      <c r="K57" s="205"/>
      <c r="L57" s="98"/>
      <c r="M57" s="37"/>
      <c r="N57" s="37"/>
      <c r="O57"/>
      <c r="AH57" s="20"/>
    </row>
    <row r="58" spans="1:35" ht="15" thickBot="1">
      <c r="A58" s="3"/>
      <c r="B58" s="293" t="s">
        <v>270</v>
      </c>
      <c r="C58" s="531">
        <f>6225190.70072942+244860+731220+665752+737765.76</f>
        <v>8604788.4607294202</v>
      </c>
      <c r="D58" s="530">
        <f>905298.37249767+32541</f>
        <v>937839.37249767</v>
      </c>
      <c r="E58" s="383">
        <f>+D58+C58</f>
        <v>9542627.8332270905</v>
      </c>
      <c r="F58" s="201"/>
      <c r="G58" s="201"/>
      <c r="H58" s="532"/>
      <c r="I58" s="99"/>
      <c r="J58" s="99"/>
      <c r="K58" s="99"/>
      <c r="L58" s="98"/>
      <c r="M58" s="38"/>
      <c r="N58" s="38"/>
      <c r="O58"/>
      <c r="AH58" s="20"/>
    </row>
    <row r="59" spans="1:35" ht="15.75" customHeight="1">
      <c r="A59" s="3"/>
      <c r="B59" s="3"/>
      <c r="C59" s="3"/>
      <c r="D59" s="3"/>
      <c r="E59" s="3"/>
      <c r="F59" s="3"/>
      <c r="G59" s="3"/>
      <c r="H59" s="3"/>
      <c r="I59" s="3"/>
      <c r="J59" s="3"/>
      <c r="K59" s="3"/>
      <c r="L59" s="3"/>
      <c r="M59" s="3"/>
      <c r="AI59" s="20"/>
    </row>
    <row r="60" spans="1:35">
      <c r="A60" s="3"/>
      <c r="B60" s="3"/>
      <c r="C60" s="3"/>
      <c r="D60" s="276"/>
      <c r="E60" s="3"/>
      <c r="F60" s="3"/>
      <c r="G60" s="3"/>
      <c r="H60" s="3"/>
      <c r="I60" s="3"/>
      <c r="J60" s="3"/>
      <c r="K60" s="3"/>
      <c r="L60" s="3"/>
      <c r="M60" s="3"/>
    </row>
    <row r="61" spans="1:35" ht="18.5">
      <c r="A61" s="3"/>
      <c r="B61" s="90" t="s">
        <v>380</v>
      </c>
      <c r="C61" s="3"/>
      <c r="D61" s="3"/>
      <c r="E61" s="3"/>
      <c r="F61" s="3"/>
      <c r="G61" s="3"/>
      <c r="H61" s="3"/>
      <c r="I61" s="3"/>
      <c r="J61" s="3"/>
      <c r="K61" s="3"/>
      <c r="L61" s="3"/>
      <c r="M61" s="3"/>
    </row>
    <row r="62" spans="1:35" ht="15" thickBot="1">
      <c r="A62" s="3"/>
      <c r="B62" s="3"/>
      <c r="C62" s="3"/>
      <c r="D62" s="3"/>
      <c r="E62" s="3"/>
      <c r="F62" s="3"/>
      <c r="G62" s="3"/>
      <c r="H62" s="3"/>
      <c r="I62" s="3"/>
      <c r="J62" s="3"/>
      <c r="K62" s="3"/>
      <c r="L62" s="3"/>
      <c r="M62" s="3"/>
    </row>
    <row r="63" spans="1:35">
      <c r="A63" s="3"/>
      <c r="B63" s="757" t="s">
        <v>346</v>
      </c>
      <c r="C63" s="758"/>
      <c r="D63" s="759"/>
      <c r="E63" s="3"/>
      <c r="F63" s="3"/>
      <c r="G63" s="3"/>
      <c r="H63" s="3"/>
      <c r="I63" s="3"/>
      <c r="J63" s="3"/>
      <c r="K63" s="3"/>
      <c r="L63" s="3"/>
      <c r="M63" s="36"/>
      <c r="O63"/>
    </row>
    <row r="64" spans="1:35">
      <c r="A64" s="3"/>
      <c r="B64" s="103"/>
      <c r="C64" s="299" t="s">
        <v>60</v>
      </c>
      <c r="D64" s="300" t="s">
        <v>61</v>
      </c>
      <c r="E64" s="3"/>
      <c r="F64" s="3"/>
      <c r="G64" s="3"/>
      <c r="H64" s="3"/>
      <c r="I64" s="3"/>
      <c r="J64" s="3"/>
      <c r="K64" s="3"/>
      <c r="L64" s="3"/>
      <c r="M64" s="36"/>
      <c r="O64"/>
    </row>
    <row r="65" spans="1:30">
      <c r="A65" s="3"/>
      <c r="B65" s="104" t="s">
        <v>1</v>
      </c>
      <c r="C65" s="361">
        <v>60</v>
      </c>
      <c r="D65" s="362">
        <v>60</v>
      </c>
      <c r="E65" s="528"/>
      <c r="F65" s="3"/>
      <c r="G65" s="3"/>
      <c r="H65" s="3"/>
      <c r="I65" s="3"/>
      <c r="J65" s="3"/>
      <c r="K65" s="3"/>
      <c r="L65" s="3"/>
      <c r="M65" s="36"/>
      <c r="O65"/>
    </row>
    <row r="66" spans="1:30">
      <c r="A66" s="3"/>
      <c r="B66" s="298" t="s">
        <v>363</v>
      </c>
      <c r="C66" s="361">
        <v>45</v>
      </c>
      <c r="D66" s="362">
        <v>15</v>
      </c>
      <c r="E66" s="3"/>
      <c r="F66" s="3"/>
      <c r="G66" s="3"/>
      <c r="H66" s="296"/>
      <c r="I66" s="296"/>
      <c r="J66" s="3"/>
      <c r="K66" s="3"/>
      <c r="L66" s="3"/>
      <c r="M66" s="36"/>
      <c r="O66"/>
    </row>
    <row r="67" spans="1:30" ht="15" thickBot="1">
      <c r="A67" s="3"/>
      <c r="B67" s="105" t="s">
        <v>364</v>
      </c>
      <c r="C67" s="363">
        <v>5</v>
      </c>
      <c r="D67" s="364">
        <v>5</v>
      </c>
      <c r="E67" s="3"/>
      <c r="F67" s="3"/>
      <c r="G67" s="3"/>
      <c r="H67" s="296"/>
      <c r="I67" s="296"/>
      <c r="J67" s="3"/>
      <c r="K67" s="3"/>
      <c r="L67" s="3"/>
      <c r="M67" s="36"/>
      <c r="O67"/>
    </row>
    <row r="68" spans="1:30">
      <c r="A68" s="3"/>
      <c r="B68" s="3"/>
      <c r="C68" s="3"/>
      <c r="D68" s="3"/>
      <c r="E68" s="3"/>
      <c r="F68" s="3"/>
      <c r="G68" s="3"/>
      <c r="H68" s="3"/>
      <c r="I68" s="3"/>
      <c r="J68" s="3"/>
      <c r="K68" s="3"/>
      <c r="L68" s="3"/>
      <c r="M68" s="3"/>
    </row>
    <row r="69" spans="1:30" ht="15" thickBot="1">
      <c r="A69" s="3"/>
      <c r="B69" s="3"/>
      <c r="C69" s="3"/>
      <c r="D69" s="3"/>
      <c r="E69" s="3"/>
      <c r="F69" s="3"/>
      <c r="G69" s="3"/>
      <c r="H69" s="3"/>
      <c r="I69" s="3"/>
      <c r="J69" s="3"/>
      <c r="K69" s="3"/>
      <c r="L69" s="398"/>
      <c r="M69" s="3"/>
      <c r="AC69" s="19"/>
      <c r="AD69" s="19"/>
    </row>
    <row r="70" spans="1:30" ht="19" thickBot="1">
      <c r="A70" s="3"/>
      <c r="B70" s="106" t="s">
        <v>263</v>
      </c>
      <c r="C70" s="107"/>
      <c r="D70" s="107"/>
      <c r="E70" s="107"/>
      <c r="F70" s="107"/>
      <c r="G70" s="107"/>
      <c r="H70" s="322" t="s">
        <v>304</v>
      </c>
      <c r="I70" s="107"/>
      <c r="J70" s="108"/>
      <c r="K70" s="108"/>
      <c r="L70" s="399"/>
      <c r="M70" s="400"/>
      <c r="N70" s="84"/>
      <c r="O70" s="84"/>
      <c r="P70" s="84"/>
      <c r="S70" s="44"/>
      <c r="AC70" s="19"/>
      <c r="AD70" s="19"/>
    </row>
    <row r="71" spans="1:30" ht="18.5">
      <c r="A71" s="3"/>
      <c r="B71" s="110"/>
      <c r="C71" s="109"/>
      <c r="D71" s="109"/>
      <c r="E71" s="109"/>
      <c r="F71" s="109"/>
      <c r="G71" s="109"/>
      <c r="H71" s="109"/>
      <c r="I71" s="109"/>
      <c r="J71" s="109"/>
      <c r="K71" s="111"/>
      <c r="L71" s="111"/>
      <c r="M71" s="109"/>
      <c r="N71" s="84"/>
      <c r="O71" s="84"/>
      <c r="P71" s="84"/>
      <c r="S71" s="44"/>
      <c r="AC71" s="19"/>
      <c r="AD71" s="19"/>
    </row>
    <row r="72" spans="1:30" ht="18.5">
      <c r="A72" s="3"/>
      <c r="B72" s="110" t="s">
        <v>381</v>
      </c>
      <c r="C72" s="109"/>
      <c r="D72" s="109"/>
      <c r="E72" s="109"/>
      <c r="F72" s="109"/>
      <c r="G72" s="109"/>
      <c r="H72" s="109"/>
      <c r="I72" s="109"/>
      <c r="J72" s="109"/>
      <c r="K72" s="111"/>
      <c r="L72" s="111"/>
      <c r="M72" s="109"/>
      <c r="N72" s="84"/>
      <c r="O72" s="84"/>
      <c r="P72" s="84"/>
      <c r="S72" s="44"/>
      <c r="AC72" s="19"/>
      <c r="AD72" s="19"/>
    </row>
    <row r="73" spans="1:30" ht="15" thickBot="1">
      <c r="A73" s="3"/>
      <c r="B73" s="2"/>
      <c r="C73" s="112"/>
      <c r="D73" s="112"/>
      <c r="E73" s="112"/>
      <c r="F73" s="112"/>
      <c r="G73" s="112"/>
      <c r="H73" s="2"/>
      <c r="I73" s="112"/>
      <c r="J73" s="2"/>
      <c r="K73" s="2"/>
      <c r="L73" s="2"/>
      <c r="M73" s="2"/>
      <c r="N73" s="20"/>
      <c r="O73" s="19"/>
      <c r="P73" s="19"/>
      <c r="Q73" s="19"/>
      <c r="R73" s="19"/>
      <c r="S73" s="19"/>
      <c r="AD73" s="19"/>
    </row>
    <row r="74" spans="1:30" ht="29">
      <c r="A74" s="3"/>
      <c r="B74" s="705"/>
      <c r="C74" s="706"/>
      <c r="D74" s="114" t="s">
        <v>117</v>
      </c>
      <c r="E74" s="115" t="s">
        <v>296</v>
      </c>
      <c r="F74" s="115" t="s">
        <v>118</v>
      </c>
      <c r="G74" s="116" t="s">
        <v>58</v>
      </c>
      <c r="H74" s="308"/>
      <c r="I74" s="309"/>
      <c r="J74" s="15"/>
      <c r="K74" s="2"/>
      <c r="L74" s="2"/>
      <c r="M74" s="2"/>
      <c r="N74" s="20"/>
      <c r="O74" s="19"/>
      <c r="P74" s="19"/>
      <c r="Q74" s="19"/>
      <c r="R74" s="19"/>
      <c r="S74" s="19"/>
    </row>
    <row r="75" spans="1:30">
      <c r="A75" s="3"/>
      <c r="B75" s="743" t="s">
        <v>448</v>
      </c>
      <c r="C75" s="744"/>
      <c r="D75" s="257">
        <v>8</v>
      </c>
      <c r="E75" s="257">
        <v>0</v>
      </c>
      <c r="F75" s="257">
        <v>0</v>
      </c>
      <c r="G75" s="117">
        <f>SUM(D75:F75)</f>
        <v>8</v>
      </c>
      <c r="H75" s="290"/>
      <c r="I75" s="307"/>
      <c r="J75" s="307"/>
      <c r="K75" s="2"/>
      <c r="L75" s="2"/>
      <c r="M75" s="2"/>
      <c r="N75" s="20"/>
      <c r="O75" s="19"/>
      <c r="P75" s="19"/>
      <c r="Q75" s="19"/>
      <c r="R75" s="19"/>
      <c r="S75" s="19"/>
    </row>
    <row r="76" spans="1:30" ht="15" thickBot="1">
      <c r="A76" s="3"/>
      <c r="B76" s="697"/>
      <c r="C76" s="698"/>
      <c r="D76" s="258"/>
      <c r="E76" s="258"/>
      <c r="F76" s="258"/>
      <c r="G76" s="118"/>
      <c r="H76" s="290"/>
      <c r="I76" s="15"/>
      <c r="J76" s="15"/>
      <c r="K76" s="2"/>
      <c r="L76" s="2"/>
      <c r="M76" s="2"/>
      <c r="N76" s="19"/>
      <c r="O76" s="19"/>
      <c r="P76" s="19"/>
      <c r="Q76" s="19"/>
      <c r="R76" s="19"/>
      <c r="S76" s="19"/>
    </row>
    <row r="77" spans="1:30">
      <c r="A77" s="3"/>
      <c r="B77" s="2"/>
      <c r="C77" s="2"/>
      <c r="D77" s="2"/>
      <c r="E77" s="2"/>
      <c r="F77" s="2"/>
      <c r="G77" s="2"/>
      <c r="H77" s="2"/>
      <c r="I77" s="2"/>
      <c r="J77" s="2"/>
      <c r="K77" s="2"/>
      <c r="L77" s="2"/>
      <c r="M77" s="2"/>
      <c r="N77" s="19"/>
      <c r="O77" s="19"/>
      <c r="P77" s="19"/>
      <c r="Q77" s="19"/>
      <c r="R77" s="19"/>
      <c r="S77" s="19"/>
    </row>
    <row r="78" spans="1:30">
      <c r="A78" s="3"/>
      <c r="B78" s="2"/>
      <c r="C78" s="2"/>
      <c r="D78" s="2"/>
      <c r="E78" s="2"/>
      <c r="F78" s="2"/>
      <c r="G78" s="2"/>
      <c r="H78" s="2"/>
      <c r="I78" s="2"/>
      <c r="J78" s="2"/>
      <c r="K78" s="2"/>
      <c r="L78" s="2"/>
      <c r="M78" s="2"/>
      <c r="N78" s="19"/>
      <c r="O78" s="19"/>
      <c r="P78" s="19"/>
      <c r="S78" s="19"/>
    </row>
    <row r="79" spans="1:30" ht="18.5">
      <c r="A79" s="3"/>
      <c r="B79" s="110" t="s">
        <v>382</v>
      </c>
      <c r="C79" s="2"/>
      <c r="D79" s="2"/>
      <c r="E79" s="2"/>
      <c r="F79" s="2"/>
      <c r="G79" s="2"/>
      <c r="H79" s="2"/>
      <c r="I79" s="2"/>
      <c r="J79" s="2"/>
      <c r="K79" s="2"/>
      <c r="L79" s="2"/>
      <c r="M79" s="2"/>
      <c r="N79" s="19"/>
      <c r="O79" s="19"/>
      <c r="P79" s="19"/>
      <c r="S79" s="19"/>
    </row>
    <row r="80" spans="1:30" ht="15" thickBot="1">
      <c r="A80" s="3"/>
      <c r="B80" s="2"/>
      <c r="C80" s="2"/>
      <c r="D80" s="2"/>
      <c r="E80" s="2"/>
      <c r="F80" s="2"/>
      <c r="G80" s="2"/>
      <c r="H80" s="2"/>
      <c r="I80" s="2"/>
      <c r="J80" s="2"/>
      <c r="K80" s="2"/>
      <c r="L80" s="2"/>
      <c r="M80" s="2"/>
      <c r="N80" s="19"/>
      <c r="O80" s="19"/>
      <c r="P80" s="19"/>
      <c r="S80" s="19"/>
    </row>
    <row r="81" spans="1:36">
      <c r="A81" s="3"/>
      <c r="B81" s="119"/>
      <c r="C81" s="113" t="s">
        <v>63</v>
      </c>
      <c r="D81" s="113" t="s">
        <v>81</v>
      </c>
      <c r="E81" s="120" t="s">
        <v>64</v>
      </c>
      <c r="F81" s="15"/>
      <c r="G81" s="15"/>
      <c r="H81" s="15"/>
      <c r="I81" s="309"/>
      <c r="J81" s="2"/>
      <c r="K81" s="2"/>
      <c r="L81" s="2"/>
      <c r="M81" s="2"/>
      <c r="N81" s="19"/>
      <c r="O81" s="19"/>
      <c r="P81" s="19"/>
      <c r="S81" s="19"/>
    </row>
    <row r="82" spans="1:36" ht="15" thickBot="1">
      <c r="A82" s="3"/>
      <c r="B82" s="472" t="s">
        <v>312</v>
      </c>
      <c r="C82" s="354">
        <v>16</v>
      </c>
      <c r="D82" s="354">
        <v>16</v>
      </c>
      <c r="E82" s="355">
        <f>+C82-D82</f>
        <v>0</v>
      </c>
      <c r="F82" s="265"/>
      <c r="G82" s="273"/>
      <c r="H82" s="15"/>
      <c r="I82" s="307"/>
      <c r="J82" s="2"/>
      <c r="K82" s="2"/>
      <c r="L82" s="2"/>
      <c r="M82" s="2"/>
      <c r="N82" s="19"/>
      <c r="O82" s="19"/>
      <c r="P82" s="19"/>
      <c r="S82" s="19"/>
    </row>
    <row r="83" spans="1:36">
      <c r="A83" s="3"/>
      <c r="B83" s="2"/>
      <c r="C83" s="2"/>
      <c r="D83" s="2"/>
      <c r="E83" s="2"/>
      <c r="F83" s="2"/>
      <c r="G83" s="2"/>
      <c r="H83" s="2"/>
      <c r="I83" s="2"/>
      <c r="J83" s="2"/>
      <c r="K83" s="2"/>
      <c r="L83" s="2"/>
      <c r="M83" s="2"/>
      <c r="N83" s="19"/>
      <c r="O83" s="19"/>
      <c r="P83" s="19"/>
      <c r="S83" s="19"/>
    </row>
    <row r="84" spans="1:36" ht="18.5">
      <c r="A84" s="3"/>
      <c r="B84" s="110" t="s">
        <v>387</v>
      </c>
      <c r="C84" s="2"/>
      <c r="D84" s="2"/>
      <c r="E84" s="2"/>
      <c r="F84" s="2"/>
      <c r="G84" s="2"/>
      <c r="H84" s="2"/>
      <c r="I84" s="2"/>
      <c r="J84" s="15"/>
      <c r="K84" s="15"/>
      <c r="L84" s="2"/>
      <c r="M84" s="2"/>
      <c r="N84" s="19"/>
      <c r="O84" s="19"/>
      <c r="P84" s="19"/>
      <c r="S84" s="19"/>
    </row>
    <row r="85" spans="1:36" ht="15" thickBot="1">
      <c r="A85" s="3"/>
      <c r="B85" s="2"/>
      <c r="C85" s="2"/>
      <c r="D85" s="2"/>
      <c r="E85" s="2"/>
      <c r="F85" s="2"/>
      <c r="G85" s="2"/>
      <c r="H85" s="505"/>
      <c r="I85" s="505"/>
      <c r="J85" s="506"/>
      <c r="K85" s="506"/>
      <c r="L85" s="505"/>
      <c r="M85" s="505"/>
      <c r="N85" s="507"/>
      <c r="O85" s="19"/>
      <c r="P85" s="19"/>
      <c r="S85" s="19"/>
    </row>
    <row r="86" spans="1:36">
      <c r="A86" s="3"/>
      <c r="B86" s="119"/>
      <c r="C86" s="113" t="s">
        <v>291</v>
      </c>
      <c r="D86" s="113" t="s">
        <v>67</v>
      </c>
      <c r="E86" s="113" t="s">
        <v>82</v>
      </c>
      <c r="F86" s="113" t="s">
        <v>68</v>
      </c>
      <c r="G86" s="149" t="s">
        <v>119</v>
      </c>
      <c r="H86" s="508"/>
      <c r="I86" s="509" t="s">
        <v>447</v>
      </c>
      <c r="J86" s="510"/>
      <c r="K86" s="510"/>
      <c r="L86" s="511" t="s">
        <v>447</v>
      </c>
      <c r="M86" s="511"/>
      <c r="N86" s="512"/>
      <c r="O86" s="19"/>
      <c r="P86" s="19"/>
      <c r="S86" s="19"/>
    </row>
    <row r="87" spans="1:36" ht="15" thickBot="1">
      <c r="A87" s="3"/>
      <c r="B87" s="472" t="s">
        <v>127</v>
      </c>
      <c r="C87" s="354">
        <v>7</v>
      </c>
      <c r="D87" s="354">
        <v>7</v>
      </c>
      <c r="E87" s="354">
        <v>7</v>
      </c>
      <c r="F87" s="354">
        <v>7</v>
      </c>
      <c r="G87" s="356">
        <v>7</v>
      </c>
      <c r="H87" s="513" t="s">
        <v>440</v>
      </c>
      <c r="I87" s="514" t="s">
        <v>441</v>
      </c>
      <c r="J87" s="510" t="s">
        <v>442</v>
      </c>
      <c r="K87" s="511" t="s">
        <v>443</v>
      </c>
      <c r="L87" s="511" t="s">
        <v>444</v>
      </c>
      <c r="M87" s="510" t="s">
        <v>445</v>
      </c>
      <c r="N87" s="510" t="s">
        <v>446</v>
      </c>
      <c r="O87" s="19"/>
      <c r="P87" s="19"/>
      <c r="S87" s="19"/>
    </row>
    <row r="88" spans="1:36">
      <c r="A88" s="3"/>
      <c r="B88" s="2"/>
      <c r="C88" s="2"/>
      <c r="D88" s="2"/>
      <c r="E88" s="2"/>
      <c r="F88" s="2"/>
      <c r="G88" s="2"/>
      <c r="H88" s="2"/>
      <c r="I88" s="15"/>
      <c r="J88" s="15"/>
      <c r="K88" s="2"/>
      <c r="L88" s="2"/>
      <c r="M88" s="2"/>
      <c r="N88" s="19"/>
      <c r="O88" s="19"/>
      <c r="P88" s="19"/>
      <c r="S88" s="19"/>
    </row>
    <row r="89" spans="1:36" ht="18.5">
      <c r="A89" s="3"/>
      <c r="B89" s="110" t="s">
        <v>383</v>
      </c>
      <c r="C89" s="2"/>
      <c r="D89" s="2"/>
      <c r="E89" s="2"/>
      <c r="F89" s="2"/>
      <c r="G89" s="2"/>
      <c r="H89" s="2"/>
      <c r="I89" s="15"/>
      <c r="J89" s="2"/>
      <c r="K89" s="2"/>
      <c r="L89" s="2"/>
      <c r="M89" s="2"/>
      <c r="N89" s="19"/>
      <c r="O89" s="19"/>
      <c r="P89" s="19"/>
      <c r="S89" s="19"/>
    </row>
    <row r="90" spans="1:36" ht="15" thickBot="1">
      <c r="A90" s="3"/>
      <c r="B90" s="2"/>
      <c r="C90" s="2"/>
      <c r="D90" s="2"/>
      <c r="E90" s="2"/>
      <c r="F90" s="2"/>
      <c r="G90" s="2"/>
      <c r="H90" s="2"/>
      <c r="I90" s="2"/>
      <c r="J90" s="2"/>
      <c r="K90" s="2"/>
      <c r="L90" s="2"/>
      <c r="M90" s="2"/>
      <c r="N90" s="19"/>
      <c r="O90" s="19"/>
      <c r="P90" s="19"/>
      <c r="S90" s="19"/>
    </row>
    <row r="91" spans="1:36">
      <c r="A91" s="3"/>
      <c r="B91" s="119"/>
      <c r="C91" s="121" t="s">
        <v>65</v>
      </c>
      <c r="D91" s="121" t="s">
        <v>66</v>
      </c>
      <c r="E91" s="122" t="s">
        <v>288</v>
      </c>
      <c r="F91" s="2"/>
      <c r="G91" s="2"/>
      <c r="H91" s="2"/>
      <c r="I91" s="2"/>
      <c r="J91" s="19"/>
      <c r="K91" s="19"/>
      <c r="L91" s="19"/>
      <c r="N91"/>
      <c r="O91" s="19"/>
      <c r="AG91" s="36"/>
      <c r="AJ91"/>
    </row>
    <row r="92" spans="1:36">
      <c r="A92" s="3"/>
      <c r="B92" s="473" t="s">
        <v>388</v>
      </c>
      <c r="C92" s="257">
        <v>165</v>
      </c>
      <c r="D92" s="259">
        <v>165</v>
      </c>
      <c r="E92" s="310">
        <f>C92-D92</f>
        <v>0</v>
      </c>
      <c r="F92" s="2"/>
      <c r="G92" s="2"/>
      <c r="H92" s="2"/>
      <c r="I92" s="2"/>
      <c r="J92" s="19"/>
      <c r="K92" s="19"/>
      <c r="L92" s="19"/>
      <c r="N92"/>
      <c r="O92" s="19"/>
      <c r="AG92" s="36"/>
      <c r="AJ92"/>
    </row>
    <row r="93" spans="1:36" ht="15" thickBot="1">
      <c r="A93" s="3"/>
      <c r="B93" s="474" t="s">
        <v>389</v>
      </c>
      <c r="C93" s="482">
        <f>7*3</f>
        <v>21</v>
      </c>
      <c r="D93" s="483">
        <f>C93</f>
        <v>21</v>
      </c>
      <c r="E93" s="484">
        <f>C93-D93</f>
        <v>0</v>
      </c>
      <c r="F93" s="2"/>
      <c r="G93" s="2"/>
      <c r="H93" s="2"/>
      <c r="I93" s="2"/>
      <c r="J93" s="19"/>
      <c r="K93" s="19"/>
      <c r="L93" s="19"/>
      <c r="N93"/>
      <c r="O93" s="19"/>
      <c r="AG93" s="36"/>
      <c r="AJ93"/>
    </row>
    <row r="94" spans="1:36">
      <c r="A94" s="3"/>
      <c r="B94" s="2"/>
      <c r="C94" s="2"/>
      <c r="D94" s="2"/>
      <c r="E94" s="2"/>
      <c r="F94" s="2"/>
      <c r="G94" s="2"/>
      <c r="H94" s="2"/>
      <c r="I94" s="2"/>
      <c r="J94" s="2"/>
      <c r="K94" s="2"/>
      <c r="L94" s="2"/>
      <c r="M94" s="2"/>
      <c r="N94" s="19"/>
      <c r="O94" s="19"/>
      <c r="P94" s="19"/>
      <c r="S94" s="19"/>
    </row>
    <row r="95" spans="1:36" ht="18.5">
      <c r="A95" s="3"/>
      <c r="B95" s="110" t="s">
        <v>390</v>
      </c>
      <c r="C95" s="2"/>
      <c r="D95" s="2"/>
      <c r="E95" s="2"/>
      <c r="F95" s="2"/>
      <c r="G95" s="2"/>
      <c r="H95" s="2"/>
      <c r="I95" s="2"/>
      <c r="J95" s="2"/>
      <c r="K95" s="2"/>
      <c r="L95" s="2"/>
      <c r="M95" s="2"/>
      <c r="N95" s="19"/>
      <c r="O95" s="19"/>
      <c r="P95" s="19"/>
      <c r="S95" s="19"/>
    </row>
    <row r="96" spans="1:36" ht="15" thickBot="1">
      <c r="A96" s="3"/>
      <c r="B96" s="2"/>
      <c r="C96" s="2"/>
      <c r="D96" s="2"/>
      <c r="E96" s="2"/>
      <c r="F96" s="2"/>
      <c r="G96" s="2"/>
      <c r="H96" s="2"/>
      <c r="I96" s="15"/>
      <c r="J96" s="15"/>
      <c r="K96" s="15"/>
      <c r="L96" s="15"/>
      <c r="M96" s="15"/>
      <c r="N96" s="20"/>
      <c r="O96" s="20"/>
      <c r="P96" s="20"/>
      <c r="S96" s="19"/>
    </row>
    <row r="97" spans="1:19">
      <c r="A97" s="3"/>
      <c r="B97" s="219"/>
      <c r="C97" s="368" t="s">
        <v>105</v>
      </c>
      <c r="D97" s="368" t="s">
        <v>106</v>
      </c>
      <c r="E97" s="368" t="s">
        <v>107</v>
      </c>
      <c r="F97" s="368" t="s">
        <v>108</v>
      </c>
      <c r="G97" s="368" t="s">
        <v>120</v>
      </c>
      <c r="H97" s="368" t="s">
        <v>121</v>
      </c>
      <c r="I97" s="368" t="s">
        <v>122</v>
      </c>
      <c r="J97" s="368" t="s">
        <v>123</v>
      </c>
      <c r="K97" s="368" t="s">
        <v>124</v>
      </c>
      <c r="L97" s="368" t="s">
        <v>125</v>
      </c>
      <c r="M97" s="368" t="s">
        <v>126</v>
      </c>
      <c r="N97" s="369" t="s">
        <v>287</v>
      </c>
      <c r="O97" s="20"/>
      <c r="P97" s="20"/>
      <c r="S97" s="19"/>
    </row>
    <row r="98" spans="1:19" ht="15" customHeight="1">
      <c r="A98" s="3"/>
      <c r="B98" s="370" t="s">
        <v>367</v>
      </c>
      <c r="C98" s="357">
        <v>621513.13962743431</v>
      </c>
      <c r="D98" s="357">
        <v>273435.19725994923</v>
      </c>
      <c r="E98" s="357">
        <v>56473.083558848426</v>
      </c>
      <c r="F98" s="357">
        <v>1216941.6768721424</v>
      </c>
      <c r="G98" s="357">
        <v>117643.14265004233</v>
      </c>
      <c r="H98" s="357">
        <v>491331.57039999997</v>
      </c>
      <c r="I98" s="357">
        <v>155982.99910948362</v>
      </c>
      <c r="J98" s="357">
        <v>451430.0753274248</v>
      </c>
      <c r="K98" s="357">
        <v>443391.27652786707</v>
      </c>
      <c r="L98" s="357">
        <v>490313.3324999999</v>
      </c>
      <c r="M98" s="357">
        <v>115373.89077053347</v>
      </c>
      <c r="N98" s="434">
        <v>475512.77598645212</v>
      </c>
      <c r="O98" s="20"/>
      <c r="P98" s="20"/>
      <c r="S98" s="19"/>
    </row>
    <row r="99" spans="1:19" ht="15" customHeight="1">
      <c r="A99" s="3"/>
      <c r="B99" s="370" t="s">
        <v>365</v>
      </c>
      <c r="C99" s="357">
        <v>19935.614027557196</v>
      </c>
      <c r="D99" s="357">
        <v>1225173</v>
      </c>
      <c r="E99" s="357">
        <v>224961.90757585474</v>
      </c>
      <c r="F99" s="357">
        <v>599588.31837819878</v>
      </c>
      <c r="G99" s="357">
        <v>580029.07094117173</v>
      </c>
      <c r="H99" s="357">
        <v>131899.74</v>
      </c>
      <c r="I99" s="357">
        <v>30591.66</v>
      </c>
      <c r="J99" s="357">
        <v>42870.98</v>
      </c>
      <c r="K99" s="357">
        <v>491507.39933463349</v>
      </c>
      <c r="L99" s="357">
        <f>162065+309889</f>
        <v>471954</v>
      </c>
      <c r="M99" s="357">
        <f>445359/2.6914+264515</f>
        <v>429989.84580515721</v>
      </c>
      <c r="N99" s="434">
        <v>693062</v>
      </c>
      <c r="O99" s="20"/>
      <c r="P99" s="20"/>
      <c r="S99" s="19"/>
    </row>
    <row r="100" spans="1:19" ht="15" customHeight="1">
      <c r="A100" s="3"/>
      <c r="B100" s="370" t="s">
        <v>313</v>
      </c>
      <c r="C100" s="357">
        <v>579569.05894063821</v>
      </c>
      <c r="D100" s="357">
        <v>211125.8</v>
      </c>
      <c r="E100" s="357">
        <v>417945</v>
      </c>
      <c r="F100" s="357">
        <v>661579</v>
      </c>
      <c r="G100" s="357">
        <v>252325</v>
      </c>
      <c r="H100" s="357">
        <v>642504</v>
      </c>
      <c r="I100" s="357">
        <v>152807</v>
      </c>
      <c r="J100" s="357">
        <v>445495</v>
      </c>
      <c r="K100" s="357">
        <v>169836</v>
      </c>
      <c r="L100" s="357">
        <f>568417+1590</f>
        <v>570007</v>
      </c>
      <c r="M100" s="357">
        <v>89500</v>
      </c>
      <c r="N100" s="434">
        <v>380637</v>
      </c>
      <c r="O100" s="20"/>
      <c r="P100" s="20"/>
      <c r="S100" s="19"/>
    </row>
    <row r="101" spans="1:19" ht="15" customHeight="1">
      <c r="A101" s="3"/>
      <c r="B101" s="312" t="s">
        <v>409</v>
      </c>
      <c r="C101" s="358">
        <f>+C98</f>
        <v>621513.13962743431</v>
      </c>
      <c r="D101" s="358">
        <f>+C101+D98</f>
        <v>894948.3368873836</v>
      </c>
      <c r="E101" s="358">
        <f t="shared" ref="E101:N101" si="3">+D101+E98</f>
        <v>951421.42044623208</v>
      </c>
      <c r="F101" s="358">
        <f t="shared" si="3"/>
        <v>2168363.0973183746</v>
      </c>
      <c r="G101" s="358">
        <f t="shared" si="3"/>
        <v>2286006.2399684167</v>
      </c>
      <c r="H101" s="358">
        <f t="shared" si="3"/>
        <v>2777337.8103684168</v>
      </c>
      <c r="I101" s="358">
        <f t="shared" si="3"/>
        <v>2933320.8094779006</v>
      </c>
      <c r="J101" s="358">
        <f t="shared" si="3"/>
        <v>3384750.8848053254</v>
      </c>
      <c r="K101" s="358">
        <f t="shared" si="3"/>
        <v>3828142.1613331926</v>
      </c>
      <c r="L101" s="358">
        <f t="shared" si="3"/>
        <v>4318455.4938331926</v>
      </c>
      <c r="M101" s="358">
        <f t="shared" si="3"/>
        <v>4433829.3846037257</v>
      </c>
      <c r="N101" s="358">
        <f t="shared" si="3"/>
        <v>4909342.1605901774</v>
      </c>
      <c r="O101" s="20"/>
      <c r="P101" s="20"/>
      <c r="S101" s="19"/>
    </row>
    <row r="102" spans="1:19" ht="15" customHeight="1">
      <c r="A102" s="3"/>
      <c r="B102" s="312" t="s">
        <v>5</v>
      </c>
      <c r="C102" s="358">
        <f>+C99</f>
        <v>19935.614027557196</v>
      </c>
      <c r="D102" s="358">
        <f>+C102+D99</f>
        <v>1245108.6140275572</v>
      </c>
      <c r="E102" s="358">
        <f t="shared" ref="E102:N102" si="4">+D102+E99</f>
        <v>1470070.521603412</v>
      </c>
      <c r="F102" s="358">
        <f t="shared" si="4"/>
        <v>2069658.8399816109</v>
      </c>
      <c r="G102" s="358">
        <f t="shared" si="4"/>
        <v>2649687.9109227825</v>
      </c>
      <c r="H102" s="358">
        <f t="shared" si="4"/>
        <v>2781587.6509227827</v>
      </c>
      <c r="I102" s="358">
        <f t="shared" si="4"/>
        <v>2812179.3109227829</v>
      </c>
      <c r="J102" s="358">
        <f t="shared" si="4"/>
        <v>2855050.2909227828</v>
      </c>
      <c r="K102" s="358">
        <f t="shared" si="4"/>
        <v>3346557.6902574161</v>
      </c>
      <c r="L102" s="358">
        <f t="shared" si="4"/>
        <v>3818511.6902574161</v>
      </c>
      <c r="M102" s="358">
        <f t="shared" si="4"/>
        <v>4248501.5360625731</v>
      </c>
      <c r="N102" s="358">
        <f t="shared" si="4"/>
        <v>4941563.5360625731</v>
      </c>
      <c r="O102" s="20"/>
      <c r="P102" s="20"/>
      <c r="S102" s="19"/>
    </row>
    <row r="103" spans="1:19" ht="15" thickBot="1">
      <c r="A103" s="3"/>
      <c r="B103" s="431" t="s">
        <v>6</v>
      </c>
      <c r="C103" s="432">
        <f>+C100</f>
        <v>579569.05894063821</v>
      </c>
      <c r="D103" s="433">
        <f>+C103+D100</f>
        <v>790694.85894063814</v>
      </c>
      <c r="E103" s="433">
        <f t="shared" ref="E103:N103" si="5">+D103+E100</f>
        <v>1208639.8589406381</v>
      </c>
      <c r="F103" s="433">
        <f t="shared" si="5"/>
        <v>1870218.8589406381</v>
      </c>
      <c r="G103" s="433">
        <f t="shared" si="5"/>
        <v>2122543.8589406381</v>
      </c>
      <c r="H103" s="433">
        <f t="shared" si="5"/>
        <v>2765047.8589406381</v>
      </c>
      <c r="I103" s="433">
        <f t="shared" si="5"/>
        <v>2917854.8589406381</v>
      </c>
      <c r="J103" s="433">
        <f t="shared" si="5"/>
        <v>3363349.8589406381</v>
      </c>
      <c r="K103" s="433">
        <f t="shared" si="5"/>
        <v>3533185.8589406381</v>
      </c>
      <c r="L103" s="433">
        <f t="shared" si="5"/>
        <v>4103192.8589406381</v>
      </c>
      <c r="M103" s="433">
        <f t="shared" si="5"/>
        <v>4192692.8589406381</v>
      </c>
      <c r="N103" s="433">
        <f t="shared" si="5"/>
        <v>4573329.8589406386</v>
      </c>
      <c r="O103" s="20"/>
      <c r="P103" s="20"/>
      <c r="S103" s="19"/>
    </row>
    <row r="104" spans="1:19">
      <c r="A104" s="3"/>
      <c r="B104" s="3"/>
      <c r="C104" s="2"/>
      <c r="D104" s="2"/>
      <c r="E104" s="2"/>
      <c r="F104" s="2"/>
      <c r="G104" s="2"/>
      <c r="H104" s="2"/>
      <c r="I104" s="15"/>
      <c r="J104" s="123"/>
      <c r="K104" s="124"/>
      <c r="L104" s="15"/>
      <c r="M104" s="125"/>
      <c r="N104" s="20"/>
      <c r="O104" s="20"/>
      <c r="P104" s="20"/>
      <c r="S104" s="19"/>
    </row>
    <row r="105" spans="1:19">
      <c r="A105" s="3"/>
      <c r="B105" s="2" t="s">
        <v>403</v>
      </c>
      <c r="C105" s="2"/>
      <c r="D105" s="2"/>
      <c r="E105" s="2"/>
      <c r="F105" s="2"/>
      <c r="G105" s="2"/>
      <c r="H105" s="2"/>
      <c r="I105" s="15"/>
      <c r="J105" s="123"/>
      <c r="K105" s="124"/>
      <c r="L105" s="15"/>
      <c r="M105" s="125"/>
      <c r="N105" s="20"/>
      <c r="O105" s="20"/>
      <c r="P105" s="20"/>
      <c r="S105" s="19"/>
    </row>
    <row r="106" spans="1:19">
      <c r="A106" s="3"/>
      <c r="C106" s="2"/>
      <c r="D106" s="2"/>
      <c r="E106" s="2"/>
      <c r="F106" s="2"/>
      <c r="G106" s="2"/>
      <c r="H106" s="2"/>
      <c r="I106" s="15"/>
      <c r="J106" s="123"/>
      <c r="K106" s="125"/>
      <c r="L106" s="15"/>
      <c r="M106" s="125"/>
      <c r="N106" s="20"/>
      <c r="O106" s="20"/>
      <c r="P106" s="20"/>
      <c r="S106" s="19"/>
    </row>
    <row r="107" spans="1:19">
      <c r="A107" s="3"/>
      <c r="B107" s="3"/>
      <c r="C107" s="3"/>
      <c r="D107" s="3"/>
      <c r="E107" s="3"/>
      <c r="F107" s="3"/>
      <c r="G107" s="3"/>
      <c r="H107" s="3"/>
      <c r="I107" s="15"/>
      <c r="J107" s="15"/>
      <c r="K107" s="15"/>
      <c r="L107" s="15"/>
      <c r="M107" s="15"/>
      <c r="N107" s="20"/>
      <c r="O107" s="20"/>
      <c r="P107" s="20"/>
    </row>
    <row r="108" spans="1:19" ht="18.5">
      <c r="A108" s="3"/>
      <c r="B108" s="110" t="s">
        <v>384</v>
      </c>
      <c r="C108" s="3"/>
      <c r="D108" s="3"/>
      <c r="E108" s="3"/>
      <c r="F108" s="3"/>
      <c r="G108" s="3"/>
      <c r="H108" s="3"/>
      <c r="I108" s="15"/>
      <c r="J108" s="15"/>
      <c r="K108" s="15"/>
      <c r="L108" s="15"/>
      <c r="M108" s="15"/>
      <c r="N108" s="20"/>
      <c r="O108" s="20"/>
      <c r="P108" s="20"/>
    </row>
    <row r="109" spans="1:19" ht="15" thickBot="1">
      <c r="A109" s="3"/>
      <c r="B109" s="3"/>
      <c r="C109" s="15"/>
      <c r="D109" s="15"/>
      <c r="E109" s="15"/>
      <c r="F109" s="15"/>
      <c r="G109" s="2"/>
      <c r="H109" s="2"/>
      <c r="I109" s="2"/>
      <c r="J109" s="15"/>
      <c r="K109" s="2"/>
      <c r="L109" s="15"/>
      <c r="M109" s="15"/>
      <c r="N109" s="20"/>
      <c r="O109" s="20"/>
      <c r="P109" s="20"/>
      <c r="Q109" s="19"/>
      <c r="S109" s="20"/>
    </row>
    <row r="110" spans="1:19" ht="90.75" customHeight="1">
      <c r="A110" s="3"/>
      <c r="B110" s="313" t="s">
        <v>32</v>
      </c>
      <c r="C110" s="314" t="s">
        <v>79</v>
      </c>
      <c r="D110" s="316" t="s">
        <v>418</v>
      </c>
      <c r="E110" s="316" t="s">
        <v>336</v>
      </c>
      <c r="F110" s="315" t="s">
        <v>337</v>
      </c>
      <c r="G110" s="315" t="s">
        <v>338</v>
      </c>
      <c r="H110" s="316" t="s">
        <v>339</v>
      </c>
      <c r="I110" s="316" t="s">
        <v>340</v>
      </c>
      <c r="J110" s="316" t="s">
        <v>341</v>
      </c>
      <c r="K110" s="317" t="s">
        <v>342</v>
      </c>
      <c r="L110" s="2"/>
      <c r="M110" s="20"/>
      <c r="N110" s="20"/>
      <c r="O110" s="20"/>
      <c r="P110" s="19"/>
      <c r="R110" s="20"/>
    </row>
    <row r="111" spans="1:19">
      <c r="A111" s="3"/>
      <c r="B111" s="709" t="s">
        <v>372</v>
      </c>
      <c r="C111" s="521" t="s">
        <v>416</v>
      </c>
      <c r="D111" s="521">
        <v>2</v>
      </c>
      <c r="E111" s="444">
        <f>IF(ISBLANK(D111),"",D111*30)</f>
        <v>60</v>
      </c>
      <c r="F111" s="536">
        <v>689</v>
      </c>
      <c r="G111" s="444">
        <v>41340</v>
      </c>
      <c r="H111" s="523">
        <f>256800+199860</f>
        <v>456660</v>
      </c>
      <c r="I111" s="503">
        <f>H111/G111</f>
        <v>11.046444121915821</v>
      </c>
      <c r="J111" s="523">
        <v>6</v>
      </c>
      <c r="K111" s="445">
        <f>IF(AND(I111&gt;0,J111&gt;0),I111-J111,"")</f>
        <v>5.0464441219158207</v>
      </c>
      <c r="L111" s="497"/>
      <c r="M111" s="20"/>
      <c r="N111" s="20"/>
      <c r="O111" s="20"/>
      <c r="P111" s="19"/>
      <c r="R111" s="20"/>
    </row>
    <row r="112" spans="1:19">
      <c r="A112" s="3"/>
      <c r="B112" s="710"/>
      <c r="C112" s="521" t="s">
        <v>417</v>
      </c>
      <c r="D112" s="521">
        <v>0.26</v>
      </c>
      <c r="E112" s="444">
        <f>IF(ISBLANK(D112),"",D112*30)</f>
        <v>7.8000000000000007</v>
      </c>
      <c r="F112" s="522">
        <v>11000</v>
      </c>
      <c r="G112" s="444">
        <f>IF(AND(E112&gt;0,F112&gt;0),(F112*E112),"")</f>
        <v>85800.000000000015</v>
      </c>
      <c r="H112" s="523">
        <v>447018</v>
      </c>
      <c r="I112" s="503">
        <f>IF(AND(G112&gt;0,H112&gt;0),H112/G112,"")</f>
        <v>5.2099999999999991</v>
      </c>
      <c r="J112" s="523">
        <v>3</v>
      </c>
      <c r="K112" s="445">
        <f>IF(AND(I112&gt;0,J112&gt;0),I112-J112,"")</f>
        <v>2.2099999999999991</v>
      </c>
      <c r="L112" s="2"/>
      <c r="M112" s="20"/>
      <c r="N112" s="20"/>
      <c r="O112" s="20"/>
      <c r="P112" s="19"/>
    </row>
    <row r="113" spans="1:20">
      <c r="A113" s="3"/>
      <c r="B113" s="710"/>
      <c r="C113" s="521" t="s">
        <v>452</v>
      </c>
      <c r="D113" s="521">
        <v>0.6</v>
      </c>
      <c r="E113" s="444">
        <f>IF(ISBLANK(D113),"",D113*30)</f>
        <v>18</v>
      </c>
      <c r="F113" s="522">
        <v>4055</v>
      </c>
      <c r="G113" s="444">
        <f>IF(AND(E113&gt;0,F113&gt;0),(F113*E113),"")</f>
        <v>72990</v>
      </c>
      <c r="H113" s="535">
        <v>439689</v>
      </c>
      <c r="I113" s="503">
        <f>IF(AND(G113&gt;0,H113&gt;0),H113/G113,"")</f>
        <v>6.0239621866009045</v>
      </c>
      <c r="J113" s="523">
        <v>3</v>
      </c>
      <c r="K113" s="445">
        <f>IF(AND(I113&gt;0,J113&gt;0),I113-J113,"")</f>
        <v>3.0239621866009045</v>
      </c>
      <c r="L113" s="497"/>
      <c r="M113" s="20"/>
      <c r="N113" s="20"/>
      <c r="O113" s="20"/>
      <c r="P113" s="19"/>
      <c r="R113" s="20"/>
    </row>
    <row r="114" spans="1:20" ht="15" thickBot="1">
      <c r="A114" s="3"/>
      <c r="B114" s="711"/>
      <c r="C114" s="521" t="s">
        <v>458</v>
      </c>
      <c r="D114" s="524">
        <v>1</v>
      </c>
      <c r="E114" s="442">
        <f>IF(ISBLANK(D114),"",D114*30)</f>
        <v>30</v>
      </c>
      <c r="F114" s="525">
        <v>390</v>
      </c>
      <c r="G114" s="442">
        <f>IF(AND(E114&gt;0,F114&gt;0),(F114*E114),"")</f>
        <v>11700</v>
      </c>
      <c r="H114" s="525">
        <v>51984</v>
      </c>
      <c r="I114" s="504">
        <f>IF(AND(G114&gt;0,H114&gt;0),H114/G114,"")</f>
        <v>4.4430769230769229</v>
      </c>
      <c r="J114" s="523">
        <v>3</v>
      </c>
      <c r="K114" s="443">
        <f>IF(AND(I114&gt;0,J114&gt;0),I114-J114,"")</f>
        <v>1.4430769230769229</v>
      </c>
      <c r="L114" s="2"/>
      <c r="M114" s="20"/>
      <c r="N114" s="20"/>
      <c r="O114" s="20"/>
      <c r="P114" s="19"/>
      <c r="R114" s="20"/>
    </row>
    <row r="115" spans="1:20">
      <c r="A115" s="3"/>
      <c r="B115" s="3"/>
      <c r="C115" s="3"/>
      <c r="D115" s="3"/>
      <c r="E115" s="440"/>
      <c r="F115" s="441"/>
      <c r="G115" s="439"/>
      <c r="H115" s="2"/>
      <c r="I115" s="2"/>
      <c r="J115" s="3"/>
      <c r="K115" s="3"/>
      <c r="L115" s="2"/>
      <c r="M115" s="2"/>
      <c r="N115" s="20"/>
      <c r="O115" s="20"/>
      <c r="P115" s="20"/>
      <c r="Q115" s="19"/>
      <c r="S115" s="20"/>
    </row>
    <row r="116" spans="1:20" ht="15" thickBot="1">
      <c r="A116" s="3"/>
      <c r="B116" s="3"/>
      <c r="C116" s="3"/>
      <c r="D116" s="3"/>
      <c r="E116" s="3"/>
      <c r="F116" s="3"/>
      <c r="G116" s="201"/>
      <c r="H116" s="3"/>
      <c r="I116" s="2"/>
      <c r="J116" s="109"/>
      <c r="K116" s="109"/>
      <c r="L116" s="3"/>
      <c r="M116" s="3"/>
    </row>
    <row r="117" spans="1:20" ht="19" thickBot="1">
      <c r="A117" s="3"/>
      <c r="B117" s="239" t="s">
        <v>391</v>
      </c>
      <c r="C117" s="126"/>
      <c r="D117" s="126"/>
      <c r="E117" s="127"/>
      <c r="F117" s="127"/>
      <c r="G117" s="127"/>
      <c r="H117" s="254"/>
      <c r="I117" s="240"/>
      <c r="J117" s="335"/>
      <c r="K117" s="336" t="s">
        <v>370</v>
      </c>
      <c r="L117" s="127"/>
      <c r="M117" s="337"/>
      <c r="N117" s="338"/>
      <c r="O117" s="338"/>
      <c r="P117" s="397"/>
      <c r="Q117" s="36"/>
    </row>
    <row r="118" spans="1:20" ht="15" thickBot="1">
      <c r="A118" s="3"/>
      <c r="B118" s="3"/>
      <c r="C118" s="3"/>
      <c r="D118" s="3"/>
      <c r="E118" s="3"/>
      <c r="F118" s="3"/>
      <c r="G118" s="3"/>
      <c r="H118" s="3" t="s">
        <v>449</v>
      </c>
      <c r="I118" s="3" t="s">
        <v>450</v>
      </c>
      <c r="J118" s="3" t="s">
        <v>451</v>
      </c>
      <c r="K118" s="3" t="s">
        <v>454</v>
      </c>
      <c r="L118" s="3" t="s">
        <v>455</v>
      </c>
      <c r="M118" s="3" t="s">
        <v>457</v>
      </c>
      <c r="N118" s="3" t="s">
        <v>456</v>
      </c>
      <c r="O118" s="3" t="s">
        <v>459</v>
      </c>
      <c r="P118" s="502" t="s">
        <v>460</v>
      </c>
      <c r="Q118" s="502" t="s">
        <v>470</v>
      </c>
      <c r="R118" s="502" t="s">
        <v>471</v>
      </c>
    </row>
    <row r="119" spans="1:20" ht="21.75" customHeight="1">
      <c r="A119" s="3"/>
      <c r="B119" s="699" t="s">
        <v>397</v>
      </c>
      <c r="C119" s="700"/>
      <c r="D119" s="701"/>
      <c r="E119" s="321" t="s">
        <v>327</v>
      </c>
      <c r="F119" s="279" t="s">
        <v>344</v>
      </c>
      <c r="G119" s="244"/>
      <c r="H119" s="384" t="s">
        <v>105</v>
      </c>
      <c r="I119" s="384" t="s">
        <v>106</v>
      </c>
      <c r="J119" s="384" t="s">
        <v>107</v>
      </c>
      <c r="K119" s="384" t="s">
        <v>108</v>
      </c>
      <c r="L119" s="384" t="s">
        <v>120</v>
      </c>
      <c r="M119" s="384" t="s">
        <v>121</v>
      </c>
      <c r="N119" s="384" t="s">
        <v>122</v>
      </c>
      <c r="O119" s="384" t="s">
        <v>123</v>
      </c>
      <c r="P119" s="384" t="s">
        <v>124</v>
      </c>
      <c r="Q119" s="384" t="s">
        <v>125</v>
      </c>
      <c r="R119" s="384" t="s">
        <v>126</v>
      </c>
      <c r="S119" s="385" t="s">
        <v>287</v>
      </c>
      <c r="T119" s="64"/>
    </row>
    <row r="120" spans="1:20" ht="21.75" customHeight="1">
      <c r="A120" s="3"/>
      <c r="B120" s="462"/>
      <c r="C120" s="463"/>
      <c r="D120" s="463"/>
      <c r="E120" s="464"/>
      <c r="F120" s="465"/>
      <c r="G120" s="466"/>
      <c r="H120" s="467"/>
      <c r="I120" s="467"/>
      <c r="J120" s="467"/>
      <c r="K120" s="467"/>
      <c r="L120" s="467"/>
      <c r="M120" s="467"/>
      <c r="N120" s="467"/>
      <c r="O120" s="467"/>
      <c r="P120" s="467"/>
      <c r="Q120" s="467"/>
      <c r="R120" s="467"/>
      <c r="S120" s="468"/>
      <c r="T120" s="64"/>
    </row>
    <row r="121" spans="1:20" ht="15" customHeight="1">
      <c r="A121" s="747" t="s">
        <v>374</v>
      </c>
      <c r="B121" s="751" t="s">
        <v>423</v>
      </c>
      <c r="C121" s="752"/>
      <c r="D121" s="753"/>
      <c r="E121" s="677" t="s">
        <v>424</v>
      </c>
      <c r="F121" s="688" t="s">
        <v>114</v>
      </c>
      <c r="G121" s="245" t="s">
        <v>85</v>
      </c>
      <c r="H121" s="448">
        <v>25347</v>
      </c>
      <c r="I121" s="448">
        <v>25347</v>
      </c>
      <c r="J121" s="478">
        <f>27832/4</f>
        <v>6958</v>
      </c>
      <c r="K121" s="490">
        <f>27832/2</f>
        <v>13916</v>
      </c>
      <c r="L121" s="490">
        <f>27832*3/4</f>
        <v>20874</v>
      </c>
      <c r="M121" s="490">
        <f>27832</f>
        <v>27832</v>
      </c>
      <c r="N121" s="492">
        <f>31500/4</f>
        <v>7875</v>
      </c>
      <c r="O121" s="492">
        <f>31500/2</f>
        <v>15750</v>
      </c>
      <c r="P121" s="490">
        <f>31500*3/4</f>
        <v>23625</v>
      </c>
      <c r="Q121" s="490">
        <f>31500</f>
        <v>31500</v>
      </c>
      <c r="R121" s="130">
        <f>34125/4</f>
        <v>8531.25</v>
      </c>
      <c r="S121" s="131">
        <f>34125/2</f>
        <v>17062.5</v>
      </c>
      <c r="T121" s="64"/>
    </row>
    <row r="122" spans="1:20" ht="15" customHeight="1">
      <c r="A122" s="747"/>
      <c r="B122" s="754"/>
      <c r="C122" s="755"/>
      <c r="D122" s="756"/>
      <c r="E122" s="678"/>
      <c r="F122" s="688"/>
      <c r="G122" s="245" t="s">
        <v>86</v>
      </c>
      <c r="H122" s="457">
        <v>22099</v>
      </c>
      <c r="I122" s="448">
        <v>28279</v>
      </c>
      <c r="J122" s="130">
        <v>7219</v>
      </c>
      <c r="K122" s="274">
        <v>16129</v>
      </c>
      <c r="L122" s="130">
        <v>18626</v>
      </c>
      <c r="M122" s="130">
        <v>26294</v>
      </c>
      <c r="N122" s="130">
        <v>5762</v>
      </c>
      <c r="O122" s="274">
        <f>10591+1268</f>
        <v>11859</v>
      </c>
      <c r="P122" s="516">
        <v>23914</v>
      </c>
      <c r="Q122" s="130">
        <v>24421</v>
      </c>
      <c r="R122" s="130">
        <v>8173</v>
      </c>
      <c r="S122" s="131">
        <v>16211</v>
      </c>
      <c r="T122" s="64"/>
    </row>
    <row r="123" spans="1:20" ht="15" customHeight="1">
      <c r="A123" s="747"/>
      <c r="B123" s="760" t="s">
        <v>425</v>
      </c>
      <c r="C123" s="761"/>
      <c r="D123" s="762"/>
      <c r="E123" s="665" t="s">
        <v>426</v>
      </c>
      <c r="F123" s="689" t="s">
        <v>114</v>
      </c>
      <c r="G123" s="419" t="s">
        <v>85</v>
      </c>
      <c r="H123" s="450">
        <v>4250</v>
      </c>
      <c r="I123" s="450">
        <v>4250</v>
      </c>
      <c r="J123" s="479">
        <f>5950/4</f>
        <v>1487.5</v>
      </c>
      <c r="K123" s="491">
        <f>5950/2</f>
        <v>2975</v>
      </c>
      <c r="L123" s="491">
        <f>5950*3/4</f>
        <v>4462.5</v>
      </c>
      <c r="M123" s="491">
        <f>5950</f>
        <v>5950</v>
      </c>
      <c r="N123" s="498">
        <f>8500/4</f>
        <v>2125</v>
      </c>
      <c r="O123" s="498">
        <f>8500/2</f>
        <v>4250</v>
      </c>
      <c r="P123" s="491">
        <f>8500*3/4</f>
        <v>6375</v>
      </c>
      <c r="Q123" s="491">
        <f>8500</f>
        <v>8500</v>
      </c>
      <c r="R123" s="241">
        <f>8325/4</f>
        <v>2081.25</v>
      </c>
      <c r="S123" s="318">
        <f>8325/2</f>
        <v>4162.5</v>
      </c>
      <c r="T123" s="64"/>
    </row>
    <row r="124" spans="1:20" ht="15" customHeight="1">
      <c r="A124" s="747"/>
      <c r="B124" s="763"/>
      <c r="C124" s="761"/>
      <c r="D124" s="762"/>
      <c r="E124" s="661"/>
      <c r="F124" s="690"/>
      <c r="G124" s="419" t="s">
        <v>86</v>
      </c>
      <c r="H124" s="458">
        <v>3167</v>
      </c>
      <c r="I124" s="451">
        <v>3826</v>
      </c>
      <c r="J124" s="319">
        <v>1383</v>
      </c>
      <c r="K124" s="320">
        <v>2314</v>
      </c>
      <c r="L124" s="319">
        <v>3126</v>
      </c>
      <c r="M124" s="319">
        <v>3846</v>
      </c>
      <c r="N124" s="319">
        <f>1702+155</f>
        <v>1857</v>
      </c>
      <c r="O124" s="320">
        <f>3062+402</f>
        <v>3464</v>
      </c>
      <c r="P124" s="517">
        <f>4534+989</f>
        <v>5523</v>
      </c>
      <c r="Q124" s="241">
        <v>7104</v>
      </c>
      <c r="R124" s="241">
        <f>2136+268</f>
        <v>2404</v>
      </c>
      <c r="S124" s="318">
        <v>4847</v>
      </c>
      <c r="T124" s="64"/>
    </row>
    <row r="125" spans="1:20" ht="15" customHeight="1">
      <c r="A125" s="747"/>
      <c r="B125" s="764" t="s">
        <v>435</v>
      </c>
      <c r="C125" s="755"/>
      <c r="D125" s="756"/>
      <c r="E125" s="677" t="s">
        <v>436</v>
      </c>
      <c r="F125" s="703" t="s">
        <v>114</v>
      </c>
      <c r="G125" s="245" t="s">
        <v>85</v>
      </c>
      <c r="H125" s="448">
        <v>4000</v>
      </c>
      <c r="I125" s="448">
        <v>4000</v>
      </c>
      <c r="J125" s="130">
        <v>4550</v>
      </c>
      <c r="K125" s="492">
        <v>4550</v>
      </c>
      <c r="L125" s="492">
        <v>4550</v>
      </c>
      <c r="M125" s="492">
        <v>4550</v>
      </c>
      <c r="N125" s="492">
        <v>5100</v>
      </c>
      <c r="O125" s="492">
        <v>5100</v>
      </c>
      <c r="P125" s="490">
        <v>5100</v>
      </c>
      <c r="Q125" s="490">
        <v>5100</v>
      </c>
      <c r="R125" s="130">
        <v>5500</v>
      </c>
      <c r="S125" s="131">
        <v>5500</v>
      </c>
      <c r="T125" s="64"/>
    </row>
    <row r="126" spans="1:20" ht="15" customHeight="1">
      <c r="A126" s="747"/>
      <c r="B126" s="754"/>
      <c r="C126" s="755"/>
      <c r="D126" s="756"/>
      <c r="E126" s="678"/>
      <c r="F126" s="704"/>
      <c r="G126" s="245" t="s">
        <v>86</v>
      </c>
      <c r="H126" s="457">
        <v>3518</v>
      </c>
      <c r="I126" s="449">
        <v>3638</v>
      </c>
      <c r="J126" s="130">
        <v>3786</v>
      </c>
      <c r="K126" s="130">
        <v>3899</v>
      </c>
      <c r="L126" s="130">
        <v>4100</v>
      </c>
      <c r="M126" s="130">
        <v>4144</v>
      </c>
      <c r="N126" s="130">
        <v>4260</v>
      </c>
      <c r="O126" s="274">
        <f>3864+501</f>
        <v>4365</v>
      </c>
      <c r="P126" s="516">
        <v>4468</v>
      </c>
      <c r="Q126" s="130">
        <v>4597</v>
      </c>
      <c r="R126" s="130">
        <v>4136</v>
      </c>
      <c r="S126" s="131">
        <v>4798</v>
      </c>
      <c r="T126" s="64"/>
    </row>
    <row r="127" spans="1:20" ht="15" customHeight="1">
      <c r="A127" s="3"/>
      <c r="B127" s="651" t="s">
        <v>421</v>
      </c>
      <c r="C127" s="652"/>
      <c r="D127" s="653"/>
      <c r="E127" s="665" t="s">
        <v>422</v>
      </c>
      <c r="F127" s="712" t="s">
        <v>114</v>
      </c>
      <c r="G127" s="419" t="s">
        <v>85</v>
      </c>
      <c r="H127" s="447">
        <v>28329</v>
      </c>
      <c r="I127" s="447">
        <v>28329</v>
      </c>
      <c r="J127" s="479">
        <f>30814/4</f>
        <v>7703.5</v>
      </c>
      <c r="K127" s="491">
        <f>30814/2</f>
        <v>15407</v>
      </c>
      <c r="L127" s="491">
        <f>30814*3/4</f>
        <v>23110.5</v>
      </c>
      <c r="M127" s="491">
        <f>30814</f>
        <v>30814</v>
      </c>
      <c r="N127" s="498">
        <f>35175/4</f>
        <v>8793.75</v>
      </c>
      <c r="O127" s="498">
        <f>35175/2</f>
        <v>17587.5</v>
      </c>
      <c r="P127" s="491">
        <f>35175*3/4</f>
        <v>26381.25</v>
      </c>
      <c r="Q127" s="491">
        <f>35175</f>
        <v>35175</v>
      </c>
      <c r="R127" s="241">
        <f>36750/4</f>
        <v>9187.5</v>
      </c>
      <c r="S127" s="131">
        <f>36750/2</f>
        <v>18375</v>
      </c>
      <c r="T127" s="64"/>
    </row>
    <row r="128" spans="1:20" ht="15" customHeight="1">
      <c r="A128" s="3"/>
      <c r="B128" s="654"/>
      <c r="C128" s="655"/>
      <c r="D128" s="656"/>
      <c r="E128" s="661"/>
      <c r="F128" s="690"/>
      <c r="G128" s="419" t="s">
        <v>86</v>
      </c>
      <c r="H128" s="460">
        <v>26928</v>
      </c>
      <c r="I128" s="451">
        <v>30330</v>
      </c>
      <c r="J128" s="241">
        <v>13968</v>
      </c>
      <c r="K128" s="275">
        <v>20114</v>
      </c>
      <c r="L128" s="241">
        <v>23118</v>
      </c>
      <c r="M128" s="241">
        <v>27250</v>
      </c>
      <c r="N128" s="241">
        <v>14112</v>
      </c>
      <c r="O128" s="275">
        <v>20290</v>
      </c>
      <c r="P128" s="517">
        <v>16318</v>
      </c>
      <c r="Q128" s="241">
        <v>29891</v>
      </c>
      <c r="R128" s="241">
        <v>16853</v>
      </c>
      <c r="S128" s="131">
        <v>24934</v>
      </c>
      <c r="T128" s="64"/>
    </row>
    <row r="129" spans="1:20" ht="15" customHeight="1">
      <c r="A129" s="3"/>
      <c r="B129" s="679" t="s">
        <v>427</v>
      </c>
      <c r="C129" s="680"/>
      <c r="D129" s="681"/>
      <c r="E129" s="677" t="s">
        <v>428</v>
      </c>
      <c r="F129" s="703" t="s">
        <v>114</v>
      </c>
      <c r="G129" s="420" t="s">
        <v>85</v>
      </c>
      <c r="H129" s="452">
        <v>3060</v>
      </c>
      <c r="I129" s="452">
        <v>3060</v>
      </c>
      <c r="J129" s="480">
        <f>4250/4</f>
        <v>1062.5</v>
      </c>
      <c r="K129" s="493">
        <f>4250/2</f>
        <v>2125</v>
      </c>
      <c r="L129" s="493">
        <f>4250*3/4</f>
        <v>3187.5</v>
      </c>
      <c r="M129" s="493">
        <f>4250</f>
        <v>4250</v>
      </c>
      <c r="N129" s="499">
        <f>6800/4</f>
        <v>1700</v>
      </c>
      <c r="O129" s="499">
        <f>6800/2</f>
        <v>3400</v>
      </c>
      <c r="P129" s="493">
        <f>6800*3/4</f>
        <v>5100</v>
      </c>
      <c r="Q129" s="493">
        <f>6800</f>
        <v>6800</v>
      </c>
      <c r="R129" s="421">
        <f>5550/4</f>
        <v>1387.5</v>
      </c>
      <c r="S129" s="423">
        <f>5550/2</f>
        <v>2775</v>
      </c>
      <c r="T129" s="64"/>
    </row>
    <row r="130" spans="1:20" ht="15" customHeight="1">
      <c r="A130" s="3"/>
      <c r="B130" s="682"/>
      <c r="C130" s="683"/>
      <c r="D130" s="684"/>
      <c r="E130" s="678"/>
      <c r="F130" s="704"/>
      <c r="G130" s="420" t="s">
        <v>86</v>
      </c>
      <c r="H130" s="461">
        <v>1597</v>
      </c>
      <c r="I130" s="452">
        <v>2035</v>
      </c>
      <c r="J130" s="421">
        <f>691+423</f>
        <v>1114</v>
      </c>
      <c r="K130" s="422">
        <f>1285+696</f>
        <v>1981</v>
      </c>
      <c r="L130" s="421">
        <f>1781+1187</f>
        <v>2968</v>
      </c>
      <c r="M130" s="421">
        <v>3889</v>
      </c>
      <c r="N130" s="421">
        <f>741+184</f>
        <v>925</v>
      </c>
      <c r="O130" s="422">
        <f>1452+627</f>
        <v>2079</v>
      </c>
      <c r="P130" s="518">
        <f>2263+963</f>
        <v>3226</v>
      </c>
      <c r="Q130" s="421">
        <v>4637</v>
      </c>
      <c r="R130" s="421">
        <f>878+515</f>
        <v>1393</v>
      </c>
      <c r="S130" s="423">
        <v>2557</v>
      </c>
      <c r="T130" s="64"/>
    </row>
    <row r="131" spans="1:20" ht="15" customHeight="1">
      <c r="A131" s="3"/>
      <c r="B131" s="651" t="s">
        <v>429</v>
      </c>
      <c r="C131" s="652"/>
      <c r="D131" s="653"/>
      <c r="E131" s="665" t="s">
        <v>430</v>
      </c>
      <c r="F131" s="712" t="s">
        <v>114</v>
      </c>
      <c r="G131" s="419" t="s">
        <v>85</v>
      </c>
      <c r="H131" s="447">
        <v>2610</v>
      </c>
      <c r="I131" s="447">
        <v>2610</v>
      </c>
      <c r="J131" s="481">
        <f>3263/4</f>
        <v>815.75</v>
      </c>
      <c r="K131" s="494">
        <f>3263/2</f>
        <v>1631.5</v>
      </c>
      <c r="L131" s="494">
        <f>3263*3/4</f>
        <v>2447.25</v>
      </c>
      <c r="M131" s="494">
        <f>3263</f>
        <v>3263</v>
      </c>
      <c r="N131" s="500">
        <f>4306/4</f>
        <v>1076.5</v>
      </c>
      <c r="O131" s="500">
        <f>4306/2</f>
        <v>2153</v>
      </c>
      <c r="P131" s="494">
        <f>4306*3/4</f>
        <v>3229.5</v>
      </c>
      <c r="Q131" s="494">
        <f>4306</f>
        <v>4306</v>
      </c>
      <c r="R131" s="319">
        <f>3900/4</f>
        <v>975</v>
      </c>
      <c r="S131" s="424">
        <f>3900/2</f>
        <v>1950</v>
      </c>
      <c r="T131" s="64"/>
    </row>
    <row r="132" spans="1:20" ht="15" customHeight="1">
      <c r="A132" s="3"/>
      <c r="B132" s="654"/>
      <c r="C132" s="655"/>
      <c r="D132" s="656"/>
      <c r="E132" s="661"/>
      <c r="F132" s="690"/>
      <c r="G132" s="419" t="s">
        <v>86</v>
      </c>
      <c r="H132" s="460">
        <v>2479</v>
      </c>
      <c r="I132" s="451">
        <v>3160</v>
      </c>
      <c r="J132" s="241">
        <v>1532</v>
      </c>
      <c r="K132" s="275">
        <v>2372</v>
      </c>
      <c r="L132" s="241">
        <v>2885</v>
      </c>
      <c r="M132" s="241">
        <v>3367</v>
      </c>
      <c r="N132" s="241">
        <v>1593</v>
      </c>
      <c r="O132" s="275">
        <v>2476</v>
      </c>
      <c r="P132" s="519">
        <v>3229</v>
      </c>
      <c r="Q132" s="319">
        <v>3844</v>
      </c>
      <c r="R132" s="319">
        <v>1716</v>
      </c>
      <c r="S132" s="424">
        <v>2935</v>
      </c>
      <c r="T132" s="64"/>
    </row>
    <row r="133" spans="1:20" ht="15" customHeight="1">
      <c r="A133" s="3"/>
      <c r="B133" s="679" t="s">
        <v>431</v>
      </c>
      <c r="C133" s="680"/>
      <c r="D133" s="681"/>
      <c r="E133" s="677" t="s">
        <v>432</v>
      </c>
      <c r="F133" s="688" t="s">
        <v>114</v>
      </c>
      <c r="G133" s="420" t="s">
        <v>85</v>
      </c>
      <c r="H133" s="452">
        <v>1958</v>
      </c>
      <c r="I133" s="452">
        <v>1958</v>
      </c>
      <c r="J133" s="480">
        <f>2610/4</f>
        <v>652.5</v>
      </c>
      <c r="K133" s="493">
        <f>2610/2</f>
        <v>1305</v>
      </c>
      <c r="L133" s="493">
        <f>2610*3/4</f>
        <v>1957.5</v>
      </c>
      <c r="M133" s="493">
        <f>2610</f>
        <v>2610</v>
      </c>
      <c r="N133" s="499">
        <f>3589/4</f>
        <v>897.25</v>
      </c>
      <c r="O133" s="499">
        <f>3589/2</f>
        <v>1794.5</v>
      </c>
      <c r="P133" s="493">
        <f>3589*3/4</f>
        <v>2691.75</v>
      </c>
      <c r="Q133" s="493">
        <f>3589</f>
        <v>3589</v>
      </c>
      <c r="R133" s="421">
        <f>2925/4</f>
        <v>731.25</v>
      </c>
      <c r="S133" s="423">
        <f>2925/2</f>
        <v>1462.5</v>
      </c>
      <c r="T133" s="64"/>
    </row>
    <row r="134" spans="1:20" ht="15" customHeight="1">
      <c r="A134" s="3"/>
      <c r="B134" s="682"/>
      <c r="C134" s="683"/>
      <c r="D134" s="684"/>
      <c r="E134" s="678"/>
      <c r="F134" s="688"/>
      <c r="G134" s="420" t="s">
        <v>86</v>
      </c>
      <c r="H134" s="461">
        <v>1562</v>
      </c>
      <c r="I134" s="453">
        <v>2111</v>
      </c>
      <c r="J134" s="421">
        <v>712</v>
      </c>
      <c r="K134" s="422">
        <v>1296</v>
      </c>
      <c r="L134" s="421">
        <v>1735</v>
      </c>
      <c r="M134" s="421">
        <v>2185</v>
      </c>
      <c r="N134" s="421">
        <v>681</v>
      </c>
      <c r="O134" s="422">
        <v>1325</v>
      </c>
      <c r="P134" s="518">
        <v>1971</v>
      </c>
      <c r="Q134" s="421">
        <v>2698</v>
      </c>
      <c r="R134" s="421">
        <v>685</v>
      </c>
      <c r="S134" s="423">
        <v>1393</v>
      </c>
      <c r="T134" s="64"/>
    </row>
    <row r="135" spans="1:20" ht="15" customHeight="1">
      <c r="A135" s="3"/>
      <c r="B135" s="651" t="s">
        <v>433</v>
      </c>
      <c r="C135" s="652"/>
      <c r="D135" s="653"/>
      <c r="E135" s="665" t="s">
        <v>434</v>
      </c>
      <c r="F135" s="663" t="s">
        <v>114</v>
      </c>
      <c r="G135" s="419" t="s">
        <v>85</v>
      </c>
      <c r="H135" s="460">
        <v>5500</v>
      </c>
      <c r="I135" s="460">
        <v>5500</v>
      </c>
      <c r="J135" s="481">
        <f>6000/4</f>
        <v>1500</v>
      </c>
      <c r="K135" s="494">
        <f>6000/2</f>
        <v>3000</v>
      </c>
      <c r="L135" s="494">
        <f>6000*3/4</f>
        <v>4500</v>
      </c>
      <c r="M135" s="494">
        <f>6000</f>
        <v>6000</v>
      </c>
      <c r="N135" s="500">
        <f>6500/4</f>
        <v>1625</v>
      </c>
      <c r="O135" s="500">
        <f>6500/2</f>
        <v>3250</v>
      </c>
      <c r="P135" s="494">
        <f>6500*3/4</f>
        <v>4875</v>
      </c>
      <c r="Q135" s="494">
        <f>6500</f>
        <v>6500</v>
      </c>
      <c r="R135" s="319">
        <f>4690/2</f>
        <v>2345</v>
      </c>
      <c r="S135" s="424">
        <f>4690/2</f>
        <v>2345</v>
      </c>
      <c r="T135" s="64"/>
    </row>
    <row r="136" spans="1:20" ht="15" customHeight="1">
      <c r="A136" s="3"/>
      <c r="B136" s="654"/>
      <c r="C136" s="655"/>
      <c r="D136" s="656"/>
      <c r="E136" s="661"/>
      <c r="F136" s="663"/>
      <c r="G136" s="419" t="s">
        <v>86</v>
      </c>
      <c r="H136" s="460">
        <v>4718</v>
      </c>
      <c r="I136" s="446">
        <v>6068</v>
      </c>
      <c r="J136" s="319">
        <v>1552</v>
      </c>
      <c r="K136" s="319">
        <v>2937</v>
      </c>
      <c r="L136" s="319">
        <v>4226</v>
      </c>
      <c r="M136" s="319">
        <v>5534</v>
      </c>
      <c r="N136" s="319">
        <v>1605</v>
      </c>
      <c r="O136" s="320">
        <v>2611</v>
      </c>
      <c r="P136" s="519">
        <v>4122</v>
      </c>
      <c r="Q136" s="319">
        <v>5978</v>
      </c>
      <c r="R136" s="319">
        <v>1637</v>
      </c>
      <c r="S136" s="424">
        <v>3073</v>
      </c>
      <c r="T136" s="64"/>
    </row>
    <row r="137" spans="1:20" ht="15" hidden="1" customHeight="1">
      <c r="A137" s="3"/>
      <c r="B137" s="722"/>
      <c r="C137" s="723"/>
      <c r="D137" s="724"/>
      <c r="E137" s="659"/>
      <c r="F137" s="660"/>
      <c r="G137" s="420" t="s">
        <v>85</v>
      </c>
      <c r="H137" s="476"/>
      <c r="I137" s="475"/>
      <c r="J137" s="421"/>
      <c r="K137" s="495"/>
      <c r="L137" s="421"/>
      <c r="M137" s="421"/>
      <c r="N137" s="421"/>
      <c r="O137" s="421"/>
      <c r="P137" s="421"/>
      <c r="Q137" s="421"/>
      <c r="R137" s="421"/>
      <c r="S137" s="423"/>
      <c r="T137" s="64"/>
    </row>
    <row r="138" spans="1:20" ht="15" hidden="1" customHeight="1">
      <c r="A138" s="3"/>
      <c r="B138" s="725"/>
      <c r="C138" s="726"/>
      <c r="D138" s="727"/>
      <c r="E138" s="659"/>
      <c r="F138" s="660"/>
      <c r="G138" s="420" t="s">
        <v>86</v>
      </c>
      <c r="H138" s="477"/>
      <c r="I138" s="454"/>
      <c r="J138" s="421"/>
      <c r="K138" s="421"/>
      <c r="L138" s="421"/>
      <c r="M138" s="421"/>
      <c r="N138" s="421"/>
      <c r="O138" s="421"/>
      <c r="P138" s="421"/>
      <c r="Q138" s="421"/>
      <c r="R138" s="421"/>
      <c r="S138" s="423"/>
      <c r="T138" s="64"/>
    </row>
    <row r="139" spans="1:20" ht="15" hidden="1" customHeight="1">
      <c r="A139" s="3"/>
      <c r="B139" s="672"/>
      <c r="C139" s="652"/>
      <c r="D139" s="653"/>
      <c r="E139" s="661"/>
      <c r="F139" s="663"/>
      <c r="G139" s="419" t="s">
        <v>85</v>
      </c>
      <c r="H139" s="447"/>
      <c r="I139" s="446"/>
      <c r="J139" s="319"/>
      <c r="K139" s="319"/>
      <c r="L139" s="319"/>
      <c r="M139" s="319"/>
      <c r="N139" s="319"/>
      <c r="O139" s="319"/>
      <c r="P139" s="319"/>
      <c r="Q139" s="319"/>
      <c r="R139" s="319"/>
      <c r="S139" s="424"/>
      <c r="T139" s="64"/>
    </row>
    <row r="140" spans="1:20" ht="15" hidden="1" customHeight="1" thickBot="1">
      <c r="A140" s="3"/>
      <c r="B140" s="673"/>
      <c r="C140" s="674"/>
      <c r="D140" s="675"/>
      <c r="E140" s="662"/>
      <c r="F140" s="664"/>
      <c r="G140" s="425" t="s">
        <v>86</v>
      </c>
      <c r="H140" s="455"/>
      <c r="I140" s="456"/>
      <c r="J140" s="426"/>
      <c r="K140" s="426"/>
      <c r="L140" s="426"/>
      <c r="M140" s="426"/>
      <c r="N140" s="426"/>
      <c r="O140" s="426"/>
      <c r="P140" s="426"/>
      <c r="Q140" s="426"/>
      <c r="R140" s="426"/>
      <c r="S140" s="427"/>
      <c r="T140" s="64"/>
    </row>
    <row r="141" spans="1:20">
      <c r="A141" s="3"/>
      <c r="B141" s="3"/>
      <c r="C141" s="3"/>
      <c r="D141" s="3"/>
      <c r="E141" s="3"/>
      <c r="F141" s="3"/>
      <c r="G141" s="2"/>
      <c r="H141" s="3"/>
      <c r="I141" s="3"/>
      <c r="J141" s="3"/>
      <c r="K141" s="3"/>
      <c r="L141" s="3"/>
      <c r="M141" s="3"/>
      <c r="N141" s="3"/>
      <c r="O141" s="3"/>
      <c r="R141" s="36"/>
      <c r="S141" s="36"/>
    </row>
    <row r="142" spans="1:20">
      <c r="A142" s="3"/>
      <c r="B142" s="3"/>
      <c r="C142" s="3"/>
      <c r="D142" s="3"/>
      <c r="E142" s="3"/>
      <c r="F142" s="3"/>
      <c r="G142" s="2"/>
      <c r="H142" s="3"/>
      <c r="I142" s="3"/>
      <c r="J142" s="3"/>
      <c r="K142" s="3"/>
      <c r="L142" s="3"/>
      <c r="M142" s="3"/>
      <c r="N142" s="3"/>
      <c r="O142" s="3"/>
      <c r="R142" s="36"/>
      <c r="S142" s="36"/>
    </row>
    <row r="143" spans="1:20">
      <c r="A143" s="3"/>
      <c r="B143" s="3"/>
      <c r="C143" s="3"/>
      <c r="D143" s="3"/>
      <c r="E143" s="3"/>
      <c r="F143" s="3"/>
      <c r="G143" s="2"/>
      <c r="H143" s="3"/>
      <c r="I143" s="3"/>
      <c r="J143" s="3"/>
      <c r="K143" s="3"/>
      <c r="L143" s="3"/>
      <c r="M143" s="3"/>
      <c r="N143" s="3"/>
      <c r="O143" s="3"/>
      <c r="R143" s="36"/>
      <c r="S143" s="36"/>
    </row>
    <row r="144" spans="1:20" ht="16" thickBot="1">
      <c r="A144" s="3"/>
      <c r="B144" s="323"/>
      <c r="C144" s="3"/>
      <c r="D144" s="3"/>
      <c r="E144" s="3"/>
      <c r="F144" s="3"/>
      <c r="G144" s="2"/>
      <c r="H144" s="3"/>
      <c r="I144" s="3"/>
      <c r="J144" s="3"/>
      <c r="K144" s="3"/>
      <c r="L144" s="3"/>
      <c r="M144" s="3"/>
      <c r="N144" s="3"/>
      <c r="O144" s="3"/>
      <c r="R144" s="36"/>
      <c r="S144" s="36"/>
    </row>
    <row r="145" spans="1:21" ht="15" thickBot="1">
      <c r="A145" s="3"/>
      <c r="B145" s="3" t="s">
        <v>404</v>
      </c>
      <c r="C145" s="3"/>
      <c r="D145" s="3"/>
      <c r="E145" s="321" t="s">
        <v>327</v>
      </c>
      <c r="F145" s="279" t="s">
        <v>344</v>
      </c>
      <c r="G145" s="244"/>
      <c r="H145" s="384" t="str">
        <f t="shared" ref="H145:S145" si="6">C30</f>
        <v>P1</v>
      </c>
      <c r="I145" s="384" t="str">
        <f t="shared" si="6"/>
        <v>P2</v>
      </c>
      <c r="J145" s="384" t="str">
        <f t="shared" si="6"/>
        <v>P3</v>
      </c>
      <c r="K145" s="384" t="str">
        <f t="shared" si="6"/>
        <v>P4</v>
      </c>
      <c r="L145" s="384" t="str">
        <f t="shared" si="6"/>
        <v>P5</v>
      </c>
      <c r="M145" s="384" t="str">
        <f t="shared" si="6"/>
        <v>P6</v>
      </c>
      <c r="N145" s="384" t="str">
        <f t="shared" si="6"/>
        <v>P7</v>
      </c>
      <c r="O145" s="384" t="str">
        <f t="shared" si="6"/>
        <v>P8</v>
      </c>
      <c r="P145" s="384" t="str">
        <f t="shared" si="6"/>
        <v>P9</v>
      </c>
      <c r="Q145" s="384" t="str">
        <f t="shared" si="6"/>
        <v>P10</v>
      </c>
      <c r="R145" s="384" t="str">
        <f t="shared" si="6"/>
        <v>P11</v>
      </c>
      <c r="S145" s="385" t="str">
        <f t="shared" si="6"/>
        <v>P12</v>
      </c>
      <c r="T145" s="36"/>
      <c r="U145" s="36"/>
    </row>
    <row r="146" spans="1:21">
      <c r="A146" s="3"/>
      <c r="B146" s="713" t="str">
        <f>IF(ISBLANK(B121),"",(B121))</f>
        <v>Percentage of PWID that have received an HIV test during the reporting period and know their results</v>
      </c>
      <c r="C146" s="714"/>
      <c r="D146" s="715"/>
      <c r="E146" s="649" t="str">
        <f>IF(ISBLANK(E121),"",(E121))</f>
        <v>KP-3d</v>
      </c>
      <c r="F146" s="657" t="str">
        <f>IF(ISBLANK(F121),"",(F121))</f>
        <v>Yes</v>
      </c>
      <c r="G146" s="349" t="s">
        <v>85</v>
      </c>
      <c r="H146" s="404">
        <f t="shared" ref="H146:S146" si="7">H121</f>
        <v>25347</v>
      </c>
      <c r="I146" s="404">
        <f t="shared" si="7"/>
        <v>25347</v>
      </c>
      <c r="J146" s="404">
        <f t="shared" si="7"/>
        <v>6958</v>
      </c>
      <c r="K146" s="404">
        <f t="shared" si="7"/>
        <v>13916</v>
      </c>
      <c r="L146" s="404">
        <f t="shared" si="7"/>
        <v>20874</v>
      </c>
      <c r="M146" s="404">
        <f t="shared" si="7"/>
        <v>27832</v>
      </c>
      <c r="N146" s="404">
        <f t="shared" si="7"/>
        <v>7875</v>
      </c>
      <c r="O146" s="404">
        <f t="shared" si="7"/>
        <v>15750</v>
      </c>
      <c r="P146" s="404">
        <f t="shared" si="7"/>
        <v>23625</v>
      </c>
      <c r="Q146" s="404">
        <f t="shared" si="7"/>
        <v>31500</v>
      </c>
      <c r="R146" s="404">
        <f t="shared" si="7"/>
        <v>8531.25</v>
      </c>
      <c r="S146" s="435">
        <f t="shared" si="7"/>
        <v>17062.5</v>
      </c>
      <c r="T146" s="36"/>
      <c r="U146" s="36"/>
    </row>
    <row r="147" spans="1:21">
      <c r="A147" s="3"/>
      <c r="B147" s="716"/>
      <c r="C147" s="717"/>
      <c r="D147" s="718"/>
      <c r="E147" s="649"/>
      <c r="F147" s="657"/>
      <c r="G147" s="128" t="s">
        <v>86</v>
      </c>
      <c r="H147" s="404">
        <f t="shared" ref="H147:K151" si="8">H122</f>
        <v>22099</v>
      </c>
      <c r="I147" s="404">
        <f t="shared" si="8"/>
        <v>28279</v>
      </c>
      <c r="J147" s="404">
        <f t="shared" si="8"/>
        <v>7219</v>
      </c>
      <c r="K147" s="404">
        <f t="shared" si="8"/>
        <v>16129</v>
      </c>
      <c r="L147" s="404">
        <f t="shared" ref="L147:S147" si="9">L122</f>
        <v>18626</v>
      </c>
      <c r="M147" s="404">
        <f t="shared" si="9"/>
        <v>26294</v>
      </c>
      <c r="N147" s="404">
        <f t="shared" si="9"/>
        <v>5762</v>
      </c>
      <c r="O147" s="404">
        <f t="shared" si="9"/>
        <v>11859</v>
      </c>
      <c r="P147" s="404">
        <f t="shared" si="9"/>
        <v>23914</v>
      </c>
      <c r="Q147" s="404">
        <f t="shared" si="9"/>
        <v>24421</v>
      </c>
      <c r="R147" s="404">
        <f t="shared" si="9"/>
        <v>8173</v>
      </c>
      <c r="S147" s="435">
        <f t="shared" si="9"/>
        <v>16211</v>
      </c>
      <c r="T147" s="36"/>
      <c r="U147" s="36"/>
    </row>
    <row r="148" spans="1:21">
      <c r="A148" s="3"/>
      <c r="B148" s="719" t="str">
        <f>IF(ISBLANK(B123),"",(B123))</f>
        <v>Percentage of MSM reached with HIV prevention programs - defined package of services</v>
      </c>
      <c r="C148" s="720"/>
      <c r="D148" s="721"/>
      <c r="E148" s="676" t="str">
        <f>IF(ISBLANK(E123),"",(E123))</f>
        <v>KP-1a</v>
      </c>
      <c r="F148" s="728" t="str">
        <f>IF(ISBLANK(F123),"",(F123))</f>
        <v>Yes</v>
      </c>
      <c r="G148" s="428" t="s">
        <v>85</v>
      </c>
      <c r="H148" s="429">
        <f t="shared" si="8"/>
        <v>4250</v>
      </c>
      <c r="I148" s="429">
        <f>I123</f>
        <v>4250</v>
      </c>
      <c r="J148" s="429">
        <f t="shared" si="8"/>
        <v>1487.5</v>
      </c>
      <c r="K148" s="429">
        <f>K123</f>
        <v>2975</v>
      </c>
      <c r="L148" s="429">
        <f t="shared" ref="L148:S148" si="10">L123</f>
        <v>4462.5</v>
      </c>
      <c r="M148" s="429">
        <f t="shared" si="10"/>
        <v>5950</v>
      </c>
      <c r="N148" s="429">
        <f t="shared" si="10"/>
        <v>2125</v>
      </c>
      <c r="O148" s="429">
        <f t="shared" si="10"/>
        <v>4250</v>
      </c>
      <c r="P148" s="429">
        <f t="shared" si="10"/>
        <v>6375</v>
      </c>
      <c r="Q148" s="429">
        <f t="shared" si="10"/>
        <v>8500</v>
      </c>
      <c r="R148" s="429">
        <f t="shared" si="10"/>
        <v>2081.25</v>
      </c>
      <c r="S148" s="436">
        <f t="shared" si="10"/>
        <v>4162.5</v>
      </c>
      <c r="T148" s="36"/>
      <c r="U148" s="36"/>
    </row>
    <row r="149" spans="1:21">
      <c r="A149" s="3"/>
      <c r="B149" s="719"/>
      <c r="C149" s="720"/>
      <c r="D149" s="721"/>
      <c r="E149" s="676"/>
      <c r="F149" s="728"/>
      <c r="G149" s="428" t="s">
        <v>86</v>
      </c>
      <c r="H149" s="429">
        <f t="shared" si="8"/>
        <v>3167</v>
      </c>
      <c r="I149" s="429">
        <f t="shared" si="8"/>
        <v>3826</v>
      </c>
      <c r="J149" s="429">
        <f t="shared" si="8"/>
        <v>1383</v>
      </c>
      <c r="K149" s="429">
        <f t="shared" si="8"/>
        <v>2314</v>
      </c>
      <c r="L149" s="429">
        <f t="shared" ref="L149:S149" si="11">L124</f>
        <v>3126</v>
      </c>
      <c r="M149" s="429">
        <f t="shared" si="11"/>
        <v>3846</v>
      </c>
      <c r="N149" s="429">
        <f t="shared" si="11"/>
        <v>1857</v>
      </c>
      <c r="O149" s="429">
        <f t="shared" si="11"/>
        <v>3464</v>
      </c>
      <c r="P149" s="429">
        <f t="shared" si="11"/>
        <v>5523</v>
      </c>
      <c r="Q149" s="429">
        <f t="shared" si="11"/>
        <v>7104</v>
      </c>
      <c r="R149" s="429">
        <f t="shared" si="11"/>
        <v>2404</v>
      </c>
      <c r="S149" s="436">
        <f t="shared" si="11"/>
        <v>4847</v>
      </c>
      <c r="T149" s="36"/>
      <c r="U149" s="36"/>
    </row>
    <row r="150" spans="1:21">
      <c r="A150" s="3"/>
      <c r="B150" s="666" t="str">
        <f>IF(ISBLANK(B125),"",(B125))</f>
        <v xml:space="preserve">Percentage of people living with HIV currently receiving antiretroviral therapy </v>
      </c>
      <c r="C150" s="667"/>
      <c r="D150" s="668"/>
      <c r="E150" s="649" t="str">
        <f>IF(ISBLANK(E125),"",(E125))</f>
        <v>TCS-1</v>
      </c>
      <c r="F150" s="657" t="str">
        <f>IF(ISBLANK(F125),"",(F125))</f>
        <v>Yes</v>
      </c>
      <c r="G150" s="128" t="s">
        <v>85</v>
      </c>
      <c r="H150" s="404">
        <f t="shared" si="8"/>
        <v>4000</v>
      </c>
      <c r="I150" s="404">
        <f t="shared" si="8"/>
        <v>4000</v>
      </c>
      <c r="J150" s="404">
        <f t="shared" si="8"/>
        <v>4550</v>
      </c>
      <c r="K150" s="404">
        <f t="shared" si="8"/>
        <v>4550</v>
      </c>
      <c r="L150" s="404">
        <f t="shared" ref="L150:S150" si="12">L125</f>
        <v>4550</v>
      </c>
      <c r="M150" s="404">
        <f t="shared" si="12"/>
        <v>4550</v>
      </c>
      <c r="N150" s="404">
        <f t="shared" si="12"/>
        <v>5100</v>
      </c>
      <c r="O150" s="404">
        <f t="shared" si="12"/>
        <v>5100</v>
      </c>
      <c r="P150" s="404">
        <f t="shared" si="12"/>
        <v>5100</v>
      </c>
      <c r="Q150" s="404">
        <f t="shared" si="12"/>
        <v>5100</v>
      </c>
      <c r="R150" s="404">
        <f t="shared" si="12"/>
        <v>5500</v>
      </c>
      <c r="S150" s="435">
        <f t="shared" si="12"/>
        <v>5500</v>
      </c>
      <c r="T150" s="36"/>
      <c r="U150" s="36"/>
    </row>
    <row r="151" spans="1:21" ht="15" thickBot="1">
      <c r="A151" s="3"/>
      <c r="B151" s="669"/>
      <c r="C151" s="670"/>
      <c r="D151" s="671"/>
      <c r="E151" s="650"/>
      <c r="F151" s="658"/>
      <c r="G151" s="129" t="s">
        <v>86</v>
      </c>
      <c r="H151" s="405">
        <f t="shared" si="8"/>
        <v>3518</v>
      </c>
      <c r="I151" s="405">
        <f t="shared" si="8"/>
        <v>3638</v>
      </c>
      <c r="J151" s="405">
        <f t="shared" si="8"/>
        <v>3786</v>
      </c>
      <c r="K151" s="405">
        <f t="shared" si="8"/>
        <v>3899</v>
      </c>
      <c r="L151" s="405">
        <f t="shared" ref="L151:S151" si="13">L126</f>
        <v>4100</v>
      </c>
      <c r="M151" s="405">
        <f t="shared" si="13"/>
        <v>4144</v>
      </c>
      <c r="N151" s="405">
        <f t="shared" si="13"/>
        <v>4260</v>
      </c>
      <c r="O151" s="405">
        <f t="shared" si="13"/>
        <v>4365</v>
      </c>
      <c r="P151" s="405">
        <f t="shared" si="13"/>
        <v>4468</v>
      </c>
      <c r="Q151" s="405">
        <f t="shared" si="13"/>
        <v>4597</v>
      </c>
      <c r="R151" s="405">
        <f t="shared" si="13"/>
        <v>4136</v>
      </c>
      <c r="S151" s="437">
        <f t="shared" si="13"/>
        <v>4798</v>
      </c>
      <c r="T151" s="36"/>
      <c r="U151" s="36"/>
    </row>
    <row r="152" spans="1:21">
      <c r="A152" s="3"/>
      <c r="B152" s="3"/>
      <c r="C152" s="3"/>
      <c r="D152" s="3"/>
      <c r="E152" s="3"/>
      <c r="F152" s="3"/>
      <c r="G152" s="3"/>
      <c r="H152" s="3"/>
      <c r="I152" s="3"/>
      <c r="J152" s="3"/>
      <c r="K152" s="3"/>
      <c r="L152" s="3"/>
      <c r="M152" s="3"/>
      <c r="N152"/>
      <c r="O152"/>
      <c r="P152" s="36"/>
      <c r="Q152" s="36"/>
      <c r="S152" s="430"/>
    </row>
    <row r="153" spans="1:21">
      <c r="N153"/>
      <c r="O153"/>
      <c r="P153" s="36"/>
      <c r="Q153" s="36"/>
    </row>
    <row r="154" spans="1:21">
      <c r="N154"/>
      <c r="O154"/>
      <c r="P154" s="36"/>
      <c r="Q154" s="36"/>
    </row>
    <row r="155" spans="1:21">
      <c r="N155"/>
      <c r="O155"/>
      <c r="P155" s="36"/>
      <c r="Q155" s="36"/>
    </row>
  </sheetData>
  <mergeCells count="73">
    <mergeCell ref="A121:A126"/>
    <mergeCell ref="B29:N29"/>
    <mergeCell ref="B121:D122"/>
    <mergeCell ref="B63:D63"/>
    <mergeCell ref="F125:F126"/>
    <mergeCell ref="B123:D124"/>
    <mergeCell ref="B125:D126"/>
    <mergeCell ref="C12:D12"/>
    <mergeCell ref="G24:H24"/>
    <mergeCell ref="C6:D6"/>
    <mergeCell ref="E6:F6"/>
    <mergeCell ref="B75:C75"/>
    <mergeCell ref="B18:C18"/>
    <mergeCell ref="D18:F18"/>
    <mergeCell ref="F146:F147"/>
    <mergeCell ref="F148:F149"/>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B146:D147"/>
    <mergeCell ref="B148:D149"/>
    <mergeCell ref="B131:D132"/>
    <mergeCell ref="B133:D134"/>
    <mergeCell ref="B135:D136"/>
    <mergeCell ref="B137:D138"/>
    <mergeCell ref="F135:F136"/>
    <mergeCell ref="F129:F130"/>
    <mergeCell ref="B74:C74"/>
    <mergeCell ref="B26:C26"/>
    <mergeCell ref="B111:B114"/>
    <mergeCell ref="F131:F132"/>
    <mergeCell ref="E133:E134"/>
    <mergeCell ref="F133:F134"/>
    <mergeCell ref="F127:F128"/>
    <mergeCell ref="I24:J24"/>
    <mergeCell ref="B21:J21"/>
    <mergeCell ref="B76:C76"/>
    <mergeCell ref="E125:E126"/>
    <mergeCell ref="B119:D119"/>
    <mergeCell ref="D24:E24"/>
    <mergeCell ref="O31:O34"/>
    <mergeCell ref="E121:E122"/>
    <mergeCell ref="F121:F122"/>
    <mergeCell ref="F123:F124"/>
    <mergeCell ref="E123:E124"/>
    <mergeCell ref="F50:I50"/>
    <mergeCell ref="E150:E151"/>
    <mergeCell ref="B127:D128"/>
    <mergeCell ref="F150:F151"/>
    <mergeCell ref="E137:E138"/>
    <mergeCell ref="F137:F138"/>
    <mergeCell ref="E139:E140"/>
    <mergeCell ref="F139:F140"/>
    <mergeCell ref="E146:E147"/>
    <mergeCell ref="E127:E128"/>
    <mergeCell ref="E131:E132"/>
    <mergeCell ref="B150:D151"/>
    <mergeCell ref="B139:D140"/>
    <mergeCell ref="E148:E149"/>
    <mergeCell ref="E129:E130"/>
    <mergeCell ref="B129:D130"/>
    <mergeCell ref="E135:E136"/>
  </mergeCells>
  <phoneticPr fontId="30" type="noConversion"/>
  <conditionalFormatting sqref="B34 B32 C32:D33 E32 E33:N33 C31">
    <cfRule type="expression" dxfId="38" priority="3" stopIfTrue="1">
      <formula>+AND(#REF!&gt;=#REF!,#REF!&lt;=#REF!)</formula>
    </cfRule>
  </conditionalFormatting>
  <conditionalFormatting sqref="C34:N34">
    <cfRule type="expression" dxfId="37" priority="4" stopIfTrue="1">
      <formula>+AND(#REF!&gt;=#REF!,#REF!&lt;=#REF!)</formula>
    </cfRule>
  </conditionalFormatting>
  <conditionalFormatting sqref="C30:N30 C97:N97">
    <cfRule type="cellIs" dxfId="36" priority="7" stopIfTrue="1" operator="equal">
      <formula>$C$16</formula>
    </cfRule>
  </conditionalFormatting>
  <conditionalFormatting sqref="C12:D12">
    <cfRule type="cellIs" dxfId="35" priority="9" stopIfTrue="1" operator="equal">
      <formula>"C"</formula>
    </cfRule>
    <cfRule type="cellIs" dxfId="34" priority="10" stopIfTrue="1" operator="equal">
      <formula>"B2"</formula>
    </cfRule>
    <cfRule type="cellIs" dxfId="33" priority="11" stopIfTrue="1" operator="equal">
      <formula>"B1"</formula>
    </cfRule>
  </conditionalFormatting>
  <conditionalFormatting sqref="H119:S120 H145:S145">
    <cfRule type="cellIs" dxfId="32" priority="18" stopIfTrue="1" operator="equal">
      <formula>$C$16</formula>
    </cfRule>
  </conditionalFormatting>
  <conditionalFormatting sqref="F50:I50">
    <cfRule type="expression" dxfId="31" priority="19" stopIfTrue="1">
      <formula>LEFT($F$50,2)="OK"</formula>
    </cfRule>
  </conditionalFormatting>
  <conditionalFormatting sqref="G32:H32">
    <cfRule type="expression" dxfId="30" priority="1" stopIfTrue="1">
      <formula>+AND(#REF!&gt;=#REF!,#REF!&lt;=#REF!)</formula>
    </cfRule>
  </conditionalFormatting>
  <dataValidations count="9">
    <dataValidation type="list" allowBlank="1" showInputMessage="1" showErrorMessage="1" sqref="B111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11:C114">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51" max="16383" man="1"/>
  </rowBreaks>
  <ignoredErrors>
    <ignoredError sqref="H145:S145 E146 C32 D50 I32:J32 K100:L100 G100 L99:M99 C55:D55 C58:D58 C56:C57 D4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SheetLayoutView="100" workbookViewId="0">
      <selection activeCell="E1" sqref="E1:E1048576"/>
    </sheetView>
  </sheetViews>
  <sheetFormatPr defaultColWidth="11.453125" defaultRowHeight="14.5"/>
  <cols>
    <col min="1" max="1" width="21.1796875" style="3" customWidth="1"/>
    <col min="2" max="2" width="12.453125" style="3" customWidth="1"/>
    <col min="3" max="3" width="20.453125" style="3" customWidth="1"/>
    <col min="4" max="4" width="15.36328125" style="3" customWidth="1"/>
    <col min="5" max="5" width="11.6328125" style="3" customWidth="1"/>
    <col min="6" max="6" width="10.6328125" style="3" customWidth="1"/>
    <col min="7" max="7" width="11.6328125" style="3" customWidth="1"/>
    <col min="8" max="8" width="15" style="3" customWidth="1"/>
    <col min="9" max="9" width="9.453125" style="3" customWidth="1"/>
    <col min="10" max="10" width="13" style="3" customWidth="1"/>
    <col min="11" max="11" width="11.453125" style="3" customWidth="1"/>
    <col min="12" max="12" width="8.1796875" style="3" customWidth="1"/>
    <col min="13" max="13" width="9.6328125" style="3" customWidth="1"/>
    <col min="14" max="14" width="8.453125" style="3" customWidth="1"/>
    <col min="15" max="15" width="7.1796875" style="3" customWidth="1"/>
    <col min="16" max="16384" width="11.453125" style="3"/>
  </cols>
  <sheetData>
    <row r="1" spans="1:24" ht="21" customHeight="1">
      <c r="A1" s="2"/>
      <c r="B1" s="2"/>
      <c r="C1" s="2"/>
      <c r="D1" s="2"/>
      <c r="E1" s="2"/>
      <c r="F1" s="2"/>
      <c r="G1" s="271"/>
      <c r="H1" s="2"/>
      <c r="I1" s="2"/>
      <c r="J1" s="2"/>
    </row>
    <row r="2" spans="1:24" ht="25.5" customHeight="1"/>
    <row r="3" spans="1:24" ht="36">
      <c r="B3" s="770" t="str">
        <f>+"Dashboard: "&amp;" "&amp;+IF('Data Entry'!C4="Please Select","",'Data Entry'!C4&amp;" - ")&amp;+IF('Data Entry'!G6="Please Select","",'Data Entry'!G6)</f>
        <v>Dashboard:  Georgia - HIV / AIDS</v>
      </c>
      <c r="C3" s="770"/>
      <c r="D3" s="770"/>
      <c r="E3" s="770"/>
      <c r="F3" s="770"/>
      <c r="G3" s="770"/>
      <c r="H3" s="770"/>
      <c r="I3" s="770"/>
      <c r="J3" s="770"/>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4" t="s">
        <v>25</v>
      </c>
      <c r="B6" s="771" t="str">
        <f>+IF('Data Entry'!C4="Please Select","",'Data Entry'!C4)</f>
        <v>Georgia</v>
      </c>
      <c r="C6" s="771"/>
      <c r="D6" s="774" t="s">
        <v>11</v>
      </c>
      <c r="E6" s="774"/>
      <c r="F6" s="775" t="str">
        <f>+'Data Entry'!G4</f>
        <v xml:space="preserve">Sustaining and Scaling up the Effective HIV/AIDS Prevention, Treatment and Care in Georgia </v>
      </c>
      <c r="G6" s="775"/>
      <c r="H6" s="775"/>
      <c r="I6" s="775"/>
      <c r="J6" s="775"/>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4" t="s">
        <v>26</v>
      </c>
      <c r="B9" s="340" t="str">
        <f>+IF('Data Entry'!G6="Please Select","",'Data Entry'!G6)</f>
        <v>HIV / AIDS</v>
      </c>
      <c r="C9" s="224" t="s">
        <v>328</v>
      </c>
      <c r="D9" s="341" t="str">
        <f>+'Data Entry'!C6</f>
        <v>GEO-H-NCDC</v>
      </c>
      <c r="E9" s="773" t="s">
        <v>12</v>
      </c>
      <c r="F9" s="773"/>
      <c r="G9" s="342">
        <f>+IF(ISBLANK('Data Entry'!C10),"",'Data Entry'!C10)</f>
        <v>42552</v>
      </c>
      <c r="H9" s="374" t="s">
        <v>329</v>
      </c>
      <c r="I9" s="772">
        <f>+IF(ISBLANK('Data Entry'!I6),"",'Data Entry'!I6)</f>
        <v>17962183.992709801</v>
      </c>
      <c r="J9" s="772"/>
      <c r="K9" s="50"/>
      <c r="L9" s="50"/>
      <c r="M9" s="50"/>
      <c r="N9" s="50"/>
      <c r="O9" s="52"/>
      <c r="P9" s="51"/>
      <c r="Q9" s="52"/>
      <c r="R9" s="53"/>
      <c r="S9" s="17"/>
      <c r="T9" s="11"/>
      <c r="U9" s="11"/>
      <c r="V9" s="10"/>
      <c r="W9" s="10"/>
      <c r="X9" s="10"/>
    </row>
    <row r="10" spans="1:24" ht="25.5" customHeight="1">
      <c r="A10" s="374" t="s">
        <v>323</v>
      </c>
      <c r="B10" s="343" t="str">
        <f>+IF('Data Entry'!G8="Please Select","",'Data Entry'!G8)</f>
        <v>NFM</v>
      </c>
      <c r="C10" s="224" t="s">
        <v>322</v>
      </c>
      <c r="D10" s="344" t="str">
        <f>+IF('Data Entry'!I8="Please Select","",'Data Entry'!I8)</f>
        <v>N/A</v>
      </c>
      <c r="E10" s="766" t="s">
        <v>268</v>
      </c>
      <c r="F10" s="766"/>
      <c r="G10" s="765" t="str">
        <f>+'Data Entry'!C8</f>
        <v>NCDC</v>
      </c>
      <c r="H10" s="765"/>
      <c r="I10" s="765"/>
      <c r="J10" s="765"/>
      <c r="K10" s="54"/>
      <c r="L10" s="54"/>
      <c r="M10" s="50"/>
      <c r="N10" s="54"/>
      <c r="O10" s="52"/>
      <c r="P10" s="51"/>
      <c r="Q10" s="11"/>
      <c r="R10" s="53"/>
      <c r="S10" s="17"/>
      <c r="T10" s="11"/>
      <c r="U10" s="11"/>
    </row>
    <row r="11" spans="1:24" ht="25.5" customHeight="1">
      <c r="A11" s="374" t="s">
        <v>20</v>
      </c>
      <c r="B11" s="345" t="str">
        <f>+'Data Entry'!C16</f>
        <v>P12</v>
      </c>
      <c r="C11" s="326" t="s">
        <v>266</v>
      </c>
      <c r="D11" s="346">
        <f>+IF(ISBLANK('Data Entry'!E16),"",'Data Entry'!E16)</f>
        <v>43556</v>
      </c>
      <c r="E11" s="773" t="s">
        <v>21</v>
      </c>
      <c r="F11" s="773"/>
      <c r="G11" s="346">
        <f>+IF(ISBLANK('Data Entry'!G16),"",'Data Entry'!G16)</f>
        <v>43646</v>
      </c>
      <c r="H11" s="374" t="s">
        <v>28</v>
      </c>
      <c r="I11" s="767" t="str">
        <f>+IF('Data Entry'!C12="Please Select","",'Data Entry'!C12)</f>
        <v>B1</v>
      </c>
      <c r="J11" s="767"/>
      <c r="K11" s="270"/>
      <c r="L11" s="54"/>
      <c r="M11" s="50"/>
      <c r="N11" s="54"/>
      <c r="O11" s="54"/>
      <c r="P11" s="51"/>
      <c r="Q11" s="11"/>
      <c r="R11" s="53"/>
      <c r="S11" s="17"/>
      <c r="T11" s="12"/>
      <c r="U11" s="11"/>
    </row>
    <row r="12" spans="1:24" ht="25.5" customHeight="1">
      <c r="A12" s="374" t="s">
        <v>30</v>
      </c>
      <c r="B12" s="765" t="str">
        <f>+IF('Data Entry'!G10="Please Select","",'Data Entry'!G10)</f>
        <v>UNOPS</v>
      </c>
      <c r="C12" s="765"/>
      <c r="D12" s="765"/>
      <c r="E12" s="766" t="s">
        <v>289</v>
      </c>
      <c r="F12" s="766"/>
      <c r="G12" s="765" t="str">
        <f>+'Data Entry'!G12</f>
        <v>Tatyana Vinichenko</v>
      </c>
      <c r="H12" s="765"/>
      <c r="I12" s="765"/>
      <c r="J12" s="765"/>
      <c r="K12" s="54"/>
      <c r="L12" s="54"/>
      <c r="M12" s="50"/>
      <c r="N12" s="54"/>
      <c r="O12" s="17"/>
      <c r="P12" s="51"/>
      <c r="Q12" s="11"/>
      <c r="R12" s="53"/>
      <c r="S12" s="17"/>
      <c r="T12" s="11"/>
      <c r="U12" s="55"/>
      <c r="V12" s="11"/>
      <c r="W12" s="12"/>
      <c r="X12" s="11"/>
    </row>
    <row r="13" spans="1:24" ht="25.5" customHeight="1">
      <c r="A13" s="374" t="s">
        <v>31</v>
      </c>
      <c r="B13" s="765" t="str">
        <f>+'Data Entry'!D18</f>
        <v>Alexander Asatiani</v>
      </c>
      <c r="C13" s="765"/>
      <c r="D13" s="765"/>
      <c r="E13" s="766" t="s">
        <v>29</v>
      </c>
      <c r="F13" s="766"/>
      <c r="G13" s="768">
        <f>+IF(ISBLANK('Data Entry'!J16),"",'Data Entry'!J16)</f>
        <v>43697</v>
      </c>
      <c r="H13" s="769"/>
      <c r="I13" s="769"/>
      <c r="J13" s="769"/>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5"/>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7" zoomScale="110" zoomScaleNormal="110" zoomScalePageLayoutView="160" workbookViewId="0">
      <selection activeCell="I32" sqref="I32"/>
    </sheetView>
  </sheetViews>
  <sheetFormatPr defaultColWidth="11" defaultRowHeight="14.5"/>
  <cols>
    <col min="1" max="1" width="3.453125" customWidth="1"/>
    <col min="2" max="2" width="11.36328125" customWidth="1"/>
    <col min="3" max="3" width="5.1796875" customWidth="1"/>
    <col min="4" max="4" width="12.453125" customWidth="1"/>
    <col min="5" max="5" width="11.453125" customWidth="1"/>
    <col min="6" max="6" width="14.36328125" customWidth="1"/>
    <col min="7" max="7" width="3.81640625" customWidth="1"/>
    <col min="8" max="8" width="10.453125" customWidth="1"/>
    <col min="9" max="9" width="14.6328125" customWidth="1"/>
    <col min="10" max="10" width="12" customWidth="1"/>
    <col min="11" max="11" width="11.6328125" customWidth="1"/>
  </cols>
  <sheetData>
    <row r="1" spans="2:15" ht="30.75" customHeight="1">
      <c r="B1" s="3"/>
      <c r="C1" s="3"/>
      <c r="D1" s="3"/>
      <c r="E1" s="3"/>
      <c r="F1" s="3"/>
      <c r="G1" s="3"/>
      <c r="H1" s="3"/>
      <c r="I1" s="3"/>
      <c r="J1" s="3"/>
      <c r="K1" s="3"/>
    </row>
    <row r="2" spans="2:15" ht="27.75" customHeight="1">
      <c r="B2" s="696" t="str">
        <f>+"Dashboard:  "&amp;"  "&amp;IF(+'Data Entry'!C4="Please Select","",'Data Entry'!C4&amp;" - ")&amp;IF('Data Entry'!G6="Please Select","",'Data Entry'!G6)</f>
        <v>Dashboard:    Georgia - HIV / AIDS</v>
      </c>
      <c r="C2" s="696"/>
      <c r="D2" s="696"/>
      <c r="E2" s="696"/>
      <c r="F2" s="696"/>
      <c r="G2" s="696"/>
      <c r="H2" s="696"/>
      <c r="I2" s="696"/>
      <c r="J2" s="696"/>
      <c r="K2" s="696"/>
      <c r="L2" s="1"/>
      <c r="M2" s="1"/>
      <c r="N2" s="1"/>
      <c r="O2" s="1"/>
    </row>
    <row r="3" spans="2:15">
      <c r="B3" s="132" t="str">
        <f>+IF('Data Entry'!G8="Please Select","",'Data Entry'!G8)</f>
        <v>NFM</v>
      </c>
      <c r="C3" s="791" t="str">
        <f>+IF('Data Entry'!I8="Please Select","",'Data Entry'!I8)</f>
        <v>N/A</v>
      </c>
      <c r="D3" s="791"/>
      <c r="E3" s="790"/>
      <c r="F3" s="790"/>
      <c r="G3" s="790"/>
      <c r="H3" s="790"/>
      <c r="I3" s="788" t="str">
        <f>+'Data Entry'!B16</f>
        <v>Report Period:</v>
      </c>
      <c r="J3" s="788"/>
      <c r="K3" s="197" t="str">
        <f>+'Data Entry'!C16</f>
        <v>P12</v>
      </c>
      <c r="L3" s="83"/>
    </row>
    <row r="4" spans="2:15">
      <c r="B4" s="132" t="str">
        <f>+'Data Entry'!B12</f>
        <v>Latest Rating:</v>
      </c>
      <c r="C4" s="792" t="str">
        <f>+IF('Data Entry'!C12="Please Select","",'Data Entry'!C12)</f>
        <v>B1</v>
      </c>
      <c r="D4" s="792"/>
      <c r="E4" s="790" t="str">
        <f>+'Data Entry'!C8</f>
        <v>NCDC</v>
      </c>
      <c r="F4" s="790"/>
      <c r="G4" s="790"/>
      <c r="H4" s="790"/>
      <c r="I4" s="788" t="str">
        <f>+'Data Entry'!D16</f>
        <v>From:</v>
      </c>
      <c r="J4" s="789"/>
      <c r="K4" s="199">
        <f>+IF(ISBLANK('Data Entry'!E16),"",'Data Entry'!E16)</f>
        <v>43556</v>
      </c>
    </row>
    <row r="5" spans="2:15" ht="18.75" customHeight="1">
      <c r="B5" s="132"/>
      <c r="C5" s="132"/>
      <c r="D5" s="787" t="str">
        <f>+'Data Entry'!G4</f>
        <v xml:space="preserve">Sustaining and Scaling up the Effective HIV/AIDS Prevention, Treatment and Care in Georgia </v>
      </c>
      <c r="E5" s="787"/>
      <c r="F5" s="787"/>
      <c r="G5" s="787"/>
      <c r="H5" s="787"/>
      <c r="I5" s="787"/>
      <c r="J5" s="132" t="str">
        <f>+'Data Entry'!F16</f>
        <v>To:</v>
      </c>
      <c r="K5" s="199">
        <f>+IF(ISBLANK('Data Entry'!G16),"",'Data Entry'!G16)</f>
        <v>43646</v>
      </c>
    </row>
    <row r="6" spans="2:15" ht="18.5">
      <c r="B6" s="136"/>
      <c r="C6" s="132"/>
      <c r="D6" s="133"/>
      <c r="E6" s="776" t="s">
        <v>62</v>
      </c>
      <c r="F6" s="776"/>
      <c r="G6" s="776"/>
      <c r="H6" s="776"/>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P12</v>
      </c>
      <c r="C8" s="142"/>
      <c r="D8" s="2"/>
      <c r="E8" s="2"/>
      <c r="F8" s="2"/>
      <c r="H8" s="202" t="str">
        <f>+'Data Entry'!B52&amp; " - in ("&amp;'Data Entry'!D26&amp;")         "&amp;+I3&amp;" "&amp;+K3</f>
        <v>F3: Disbursements and expenditures - in ($)         Report Period: P12</v>
      </c>
      <c r="I8" s="3"/>
      <c r="J8" s="3"/>
      <c r="K8" s="3"/>
    </row>
    <row r="9" spans="2:15">
      <c r="B9" s="350" t="s">
        <v>9</v>
      </c>
      <c r="C9" s="784"/>
      <c r="D9" s="785"/>
      <c r="E9" s="785"/>
      <c r="F9" s="786"/>
      <c r="H9" s="351" t="s">
        <v>9</v>
      </c>
      <c r="I9" s="793"/>
      <c r="J9" s="785"/>
      <c r="K9" s="78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P12</v>
      </c>
      <c r="C22" s="2"/>
      <c r="D22" s="2"/>
      <c r="E22" s="2"/>
      <c r="F22" s="2"/>
      <c r="H22" s="203" t="str">
        <f>+'Data Entry'!B61&amp;"      "&amp;+I3&amp;" "&amp;+K3</f>
        <v>F4: Latest PR reporting and disbursement cycle      Report Period: P12</v>
      </c>
      <c r="J22" s="3"/>
      <c r="K22" s="3"/>
    </row>
    <row r="23" spans="1:11">
      <c r="B23" s="351" t="s">
        <v>10</v>
      </c>
      <c r="C23" s="793"/>
      <c r="D23" s="785"/>
      <c r="E23" s="785"/>
      <c r="F23" s="786"/>
      <c r="G23" s="371"/>
      <c r="H23" s="351" t="s">
        <v>9</v>
      </c>
      <c r="I23" s="793"/>
      <c r="J23" s="794"/>
      <c r="K23" s="795"/>
    </row>
    <row r="24" spans="1:11" ht="15" thickBot="1">
      <c r="B24" s="212"/>
      <c r="C24" s="212"/>
      <c r="D24" s="212"/>
      <c r="E24" s="212"/>
      <c r="F24" s="212"/>
      <c r="G24" s="212"/>
      <c r="H24" s="213"/>
      <c r="I24" s="213"/>
      <c r="J24" s="212"/>
      <c r="K24" s="212"/>
    </row>
    <row r="25" spans="1:11" ht="29.25" customHeight="1" thickBot="1">
      <c r="B25" s="3"/>
      <c r="C25" s="3"/>
      <c r="D25" s="3"/>
      <c r="E25" s="3"/>
      <c r="F25" s="3"/>
      <c r="G25" s="324"/>
      <c r="H25" s="777" t="s">
        <v>308</v>
      </c>
      <c r="I25" s="778"/>
      <c r="J25" s="778"/>
      <c r="K25" s="779"/>
    </row>
    <row r="26" spans="1:11">
      <c r="B26" s="3"/>
      <c r="C26" s="3"/>
      <c r="D26" s="3"/>
      <c r="E26" s="3"/>
      <c r="F26" s="3"/>
      <c r="G26" s="287"/>
      <c r="H26" s="780"/>
      <c r="I26" s="781"/>
      <c r="J26" s="302" t="s">
        <v>60</v>
      </c>
      <c r="K26" s="303" t="s">
        <v>61</v>
      </c>
    </row>
    <row r="27" spans="1:11" ht="23.25" customHeight="1">
      <c r="B27" s="3"/>
      <c r="C27" s="3"/>
      <c r="D27" s="3"/>
      <c r="E27" s="3"/>
      <c r="F27" s="3"/>
      <c r="G27" s="325"/>
      <c r="H27" s="782" t="str">
        <f>'Data Entry'!B65</f>
        <v>Days taken to submit final PU/DR to LFA</v>
      </c>
      <c r="I27" s="783"/>
      <c r="J27" s="304">
        <f>+'Data Entry'!C65</f>
        <v>60</v>
      </c>
      <c r="K27" s="301">
        <f>+'Data Entry'!D65</f>
        <v>60</v>
      </c>
    </row>
    <row r="28" spans="1:11" ht="21" customHeight="1">
      <c r="B28" s="3"/>
      <c r="C28" s="3"/>
      <c r="D28" s="3"/>
      <c r="E28" s="3"/>
      <c r="F28" s="3"/>
      <c r="G28" s="325"/>
      <c r="H28" s="782" t="str">
        <f>'Data Entry'!B66</f>
        <v>Days taken for disbursement to reach PR</v>
      </c>
      <c r="I28" s="783"/>
      <c r="J28" s="304">
        <f>+'Data Entry'!C66</f>
        <v>45</v>
      </c>
      <c r="K28" s="301">
        <f>+'Data Entry'!D66</f>
        <v>15</v>
      </c>
    </row>
    <row r="29" spans="1:11" ht="21" customHeight="1" thickBot="1">
      <c r="B29" s="3"/>
      <c r="C29" s="3"/>
      <c r="D29" s="3"/>
      <c r="E29" s="3"/>
      <c r="F29" s="3"/>
      <c r="G29" s="325"/>
      <c r="H29" s="796" t="str">
        <f>'Data Entry'!B67</f>
        <v xml:space="preserve">Days taken for disbursement to reach SRs </v>
      </c>
      <c r="I29" s="797"/>
      <c r="J29" s="305">
        <f>+'Data Entry'!C67</f>
        <v>5</v>
      </c>
      <c r="K29" s="306">
        <f>+'Data Entry'!D67</f>
        <v>5</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 ref="I9:K9"/>
  </mergeCells>
  <phoneticPr fontId="30" type="noConversion"/>
  <conditionalFormatting sqref="K27:K29">
    <cfRule type="cellIs" dxfId="26" priority="4" stopIfTrue="1" operator="greaterThan">
      <formula>#REF!</formula>
    </cfRule>
    <cfRule type="cellIs" dxfId="25" priority="5" stopIfTrue="1" operator="between">
      <formula>#REF!</formula>
      <formula>1</formula>
    </cfRule>
    <cfRule type="cellIs" dxfId="24" priority="6" stopIfTrue="1" operator="equal">
      <formula>0</formula>
    </cfRule>
  </conditionalFormatting>
  <conditionalFormatting sqref="C4:D4">
    <cfRule type="cellIs" dxfId="23" priority="1" stopIfTrue="1" operator="equal">
      <formula>"C"</formula>
    </cfRule>
    <cfRule type="cellIs" dxfId="22" priority="2" stopIfTrue="1" operator="equal">
      <formula>"B2"</formula>
    </cfRule>
    <cfRule type="cellIs" dxfId="21"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9" zoomScaleNormal="100" zoomScalePageLayoutView="130" workbookViewId="0">
      <selection activeCell="M33" sqref="M33"/>
    </sheetView>
  </sheetViews>
  <sheetFormatPr defaultColWidth="11" defaultRowHeight="14.5"/>
  <cols>
    <col min="1" max="1" width="3.36328125" customWidth="1"/>
    <col min="2" max="2" width="10.453125" customWidth="1"/>
    <col min="3" max="3" width="12.453125" customWidth="1"/>
    <col min="4" max="4" width="13.1796875" customWidth="1"/>
    <col min="5" max="5" width="11.453125" customWidth="1"/>
    <col min="6" max="6" width="17" customWidth="1"/>
    <col min="7" max="7" width="3.81640625" customWidth="1"/>
    <col min="8" max="8" width="13.453125" customWidth="1"/>
    <col min="9" max="9" width="23.453125" customWidth="1"/>
    <col min="10" max="10" width="13.6328125" customWidth="1"/>
    <col min="11" max="11" width="13.453125" customWidth="1"/>
    <col min="12" max="12" width="14.1796875" customWidth="1"/>
    <col min="13" max="13" width="37.6328125" customWidth="1"/>
  </cols>
  <sheetData>
    <row r="1" spans="1:16" ht="28.5" customHeight="1">
      <c r="C1" s="230"/>
      <c r="E1" s="231"/>
    </row>
    <row r="2" spans="1:16" ht="27.75" customHeight="1">
      <c r="B2" s="803" t="str">
        <f>+"Dashboard:  "&amp;"  "&amp;IF(+'Data Entry'!C4="Please Select","",'Data Entry'!C4&amp;" - ")&amp;IF('Data Entry'!G6="Please Select","",'Data Entry'!G6)</f>
        <v>Dashboard:    Georgia - HIV / AIDS</v>
      </c>
      <c r="C2" s="803"/>
      <c r="D2" s="803"/>
      <c r="E2" s="803"/>
      <c r="F2" s="803"/>
      <c r="G2" s="803"/>
      <c r="H2" s="803"/>
      <c r="I2" s="803"/>
      <c r="J2" s="803"/>
      <c r="K2" s="803"/>
      <c r="L2" s="803"/>
      <c r="M2" s="26"/>
      <c r="N2" s="26"/>
      <c r="O2" s="26"/>
      <c r="P2" s="26"/>
    </row>
    <row r="3" spans="1:16">
      <c r="B3" s="24" t="str">
        <f>+IF('Data Entry'!G8="Please Select","",'Data Entry'!G8)</f>
        <v>NFM</v>
      </c>
      <c r="C3" s="801" t="str">
        <f>+IF('Data Entry'!I8="Please Select","",'Data Entry'!I8)</f>
        <v>N/A</v>
      </c>
      <c r="D3" s="801"/>
      <c r="E3" s="802"/>
      <c r="F3" s="802"/>
      <c r="G3" s="802"/>
      <c r="H3" s="802"/>
      <c r="I3" s="802"/>
      <c r="J3" s="805" t="str">
        <f>+'Data Entry'!B16</f>
        <v>Report Period:</v>
      </c>
      <c r="K3" s="805"/>
      <c r="L3" s="197" t="str">
        <f>+'Data Entry'!C16</f>
        <v>P12</v>
      </c>
    </row>
    <row r="4" spans="1:16">
      <c r="B4" s="24" t="str">
        <f>+'Data Entry'!B12</f>
        <v>Latest Rating:</v>
      </c>
      <c r="C4" s="792" t="str">
        <f>+IF('Data Entry'!C12="Please Select","",'Data Entry'!C12)</f>
        <v>B1</v>
      </c>
      <c r="D4" s="792"/>
      <c r="E4" s="802" t="str">
        <f>+'Data Entry'!C8</f>
        <v>NCDC</v>
      </c>
      <c r="F4" s="802"/>
      <c r="G4" s="802"/>
      <c r="H4" s="802"/>
      <c r="I4" s="802"/>
      <c r="J4" s="805" t="str">
        <f>+'Data Entry'!D16</f>
        <v>From:</v>
      </c>
      <c r="K4" s="809"/>
      <c r="L4" s="199">
        <f>+IF(ISBLANK('Data Entry'!E16),"",'Data Entry'!E16)</f>
        <v>43556</v>
      </c>
    </row>
    <row r="5" spans="1:16" ht="18.75" customHeight="1">
      <c r="B5" s="24"/>
      <c r="C5" s="24"/>
      <c r="D5" s="802" t="str">
        <f>+'Data Entry'!G4</f>
        <v xml:space="preserve">Sustaining and Scaling up the Effective HIV/AIDS Prevention, Treatment and Care in Georgia </v>
      </c>
      <c r="E5" s="802"/>
      <c r="F5" s="802"/>
      <c r="G5" s="802"/>
      <c r="H5" s="802"/>
      <c r="I5" s="802"/>
      <c r="J5" s="802"/>
      <c r="K5" s="24" t="str">
        <f>+'Data Entry'!F16</f>
        <v>To:</v>
      </c>
      <c r="L5" s="199">
        <f>+IF(ISBLANK('Data Entry'!G16),"",'Data Entry'!G16)</f>
        <v>43646</v>
      </c>
    </row>
    <row r="6" spans="1:16" ht="18.5">
      <c r="B6" s="23"/>
      <c r="C6" s="24"/>
      <c r="D6" s="25"/>
      <c r="E6" s="804" t="s">
        <v>69</v>
      </c>
      <c r="F6" s="804"/>
      <c r="G6" s="804"/>
      <c r="H6" s="804"/>
      <c r="I6" s="804"/>
    </row>
    <row r="7" spans="1:16">
      <c r="B7" s="372" t="str">
        <f>+'Data Entry'!B72&amp;"                "&amp;+J3&amp;" "&amp;+L3</f>
        <v>M1: Status of Conditions Precedent (CPs) and Time Bound Actions (TBAs)                Report Period: P12</v>
      </c>
      <c r="C7" s="21"/>
      <c r="H7" s="372" t="str">
        <f>+'Data Entry'!B79&amp;"                                                                             "&amp;+J3&amp;"  "&amp;+L3</f>
        <v>M2: Status of key PR management positions                                                                             Report Period:  P12</v>
      </c>
    </row>
    <row r="8" spans="1:16">
      <c r="B8" s="352" t="s">
        <v>9</v>
      </c>
      <c r="C8" s="793"/>
      <c r="D8" s="794"/>
      <c r="E8" s="794"/>
      <c r="F8" s="795"/>
      <c r="G8" s="373"/>
      <c r="H8" s="351" t="s">
        <v>9</v>
      </c>
      <c r="I8" s="793"/>
      <c r="J8" s="798"/>
      <c r="K8" s="798"/>
      <c r="L8" s="799"/>
    </row>
    <row r="9" spans="1:16">
      <c r="B9" s="19"/>
      <c r="C9" s="19"/>
      <c r="D9" s="19"/>
      <c r="E9" s="19"/>
      <c r="F9" s="19"/>
      <c r="G9" s="19"/>
      <c r="H9" s="19"/>
    </row>
    <row r="10" spans="1:16">
      <c r="A10" s="47"/>
      <c r="B10" s="19"/>
      <c r="C10" s="19"/>
      <c r="D10" s="810"/>
      <c r="E10" s="556"/>
      <c r="F10" s="556"/>
      <c r="G10" s="206"/>
      <c r="H10" s="19"/>
      <c r="N10" s="49"/>
      <c r="O10" s="49"/>
      <c r="P10" s="48"/>
    </row>
    <row r="11" spans="1:16">
      <c r="B11" s="19"/>
      <c r="C11" s="28"/>
      <c r="D11" s="810"/>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2" t="str">
        <f>+'Data Entry'!B84&amp;"                                                                                                  "&amp;+J3&amp;" "&amp;+L3</f>
        <v>M3: Contractual arrangements (SRs)                                                                                                   Report Period: P12</v>
      </c>
      <c r="H15" s="372" t="str">
        <f>+'Data Entry'!B89&amp;"                                                             "&amp;+J3&amp;" "&amp;+L3</f>
        <v>M4: Number of complete reports received on time                                                             Report Period: P12</v>
      </c>
    </row>
    <row r="16" spans="1:16">
      <c r="B16" s="352" t="s">
        <v>9</v>
      </c>
      <c r="C16" s="793"/>
      <c r="D16" s="798"/>
      <c r="E16" s="798"/>
      <c r="F16" s="799"/>
      <c r="G16" s="373"/>
      <c r="H16" s="351" t="s">
        <v>9</v>
      </c>
      <c r="I16" s="793"/>
      <c r="J16" s="794"/>
      <c r="K16" s="794"/>
      <c r="L16" s="795"/>
    </row>
    <row r="17" spans="2:13">
      <c r="B17" s="29"/>
      <c r="H17" s="30"/>
    </row>
    <row r="18" spans="2:13">
      <c r="M18" s="83"/>
    </row>
    <row r="26" spans="2:13">
      <c r="B26" s="372" t="str">
        <f>+'Data Entry'!B95</f>
        <v>M5: Budget and Procurement of health products, health equipment, medicines and pharmaceuticals</v>
      </c>
      <c r="H26" s="372" t="str">
        <f>+'Data Entry'!B108&amp;"                                                                "&amp;+J3&amp;"  "&amp;+L3</f>
        <v>M6: Difference between current and safety stock                                                                Report Period:  P12</v>
      </c>
    </row>
    <row r="27" spans="2:13">
      <c r="B27" s="350" t="s">
        <v>9</v>
      </c>
      <c r="C27" s="784"/>
      <c r="D27" s="798"/>
      <c r="E27" s="798"/>
      <c r="F27" s="799"/>
      <c r="G27" s="373"/>
      <c r="H27" s="351" t="s">
        <v>9</v>
      </c>
      <c r="I27" s="793"/>
      <c r="J27" s="794"/>
      <c r="K27" s="794"/>
      <c r="L27" s="795"/>
    </row>
    <row r="28" spans="2:13" ht="15" thickBot="1"/>
    <row r="29" spans="2:13" ht="55.5" customHeight="1">
      <c r="F29" s="331"/>
      <c r="G29" s="331"/>
      <c r="H29" s="218" t="s">
        <v>32</v>
      </c>
      <c r="I29" s="327" t="s">
        <v>79</v>
      </c>
      <c r="J29" s="348" t="s">
        <v>343</v>
      </c>
      <c r="K29" s="217" t="s">
        <v>331</v>
      </c>
      <c r="L29" s="328" t="s">
        <v>330</v>
      </c>
    </row>
    <row r="30" spans="2:13">
      <c r="F30" s="331"/>
      <c r="G30" s="331"/>
      <c r="H30" s="806" t="str">
        <f>+'Data Entry'!B111</f>
        <v>Please Select</v>
      </c>
      <c r="I30" s="529" t="str">
        <f>+'Data Entry'!C111</f>
        <v>Zidovudine/Lamivudine</v>
      </c>
      <c r="J30" s="486">
        <f>+'Data Entry'!I111</f>
        <v>11.046444121915821</v>
      </c>
      <c r="K30" s="487">
        <f>+'Data Entry'!J111</f>
        <v>6</v>
      </c>
      <c r="L30" s="526">
        <f>J30-K30</f>
        <v>5.0464441219158207</v>
      </c>
      <c r="M30" s="501"/>
    </row>
    <row r="31" spans="2:13">
      <c r="F31" s="331"/>
      <c r="G31" s="331"/>
      <c r="H31" s="807"/>
      <c r="I31" s="329" t="str">
        <f>+'Data Entry'!C112</f>
        <v>Syringes (1ml)</v>
      </c>
      <c r="J31" s="486">
        <v>11</v>
      </c>
      <c r="K31" s="487">
        <f>+'Data Entry'!J112</f>
        <v>3</v>
      </c>
      <c r="L31" s="526">
        <f t="shared" ref="L31:L33" si="0">J31-K31</f>
        <v>8</v>
      </c>
      <c r="M31" s="501"/>
    </row>
    <row r="32" spans="2:13">
      <c r="F32" s="331"/>
      <c r="G32" s="331"/>
      <c r="H32" s="807"/>
      <c r="I32" s="329" t="str">
        <f>+'Data Entry'!C113</f>
        <v>Condoms (Tanadgoma)</v>
      </c>
      <c r="J32" s="537">
        <f>+'Data Entry'!I113</f>
        <v>6.0239621866009045</v>
      </c>
      <c r="K32" s="487">
        <f>+'Data Entry'!J113</f>
        <v>3</v>
      </c>
      <c r="L32" s="526">
        <f t="shared" si="0"/>
        <v>3.0239621866009045</v>
      </c>
      <c r="M32" s="501"/>
    </row>
    <row r="33" spans="2:13" ht="15" thickBot="1">
      <c r="F33" s="331"/>
      <c r="G33" s="331"/>
      <c r="H33" s="808"/>
      <c r="I33" s="330" t="str">
        <f>+'Data Entry'!C114</f>
        <v>Condoms (EM)</v>
      </c>
      <c r="J33" s="488">
        <f>+'Data Entry'!I114</f>
        <v>4.4430769230769229</v>
      </c>
      <c r="K33" s="489">
        <f>+'Data Entry'!J114</f>
        <v>3</v>
      </c>
      <c r="L33" s="526">
        <f t="shared" si="0"/>
        <v>1.4430769230769229</v>
      </c>
      <c r="M33" s="501" t="s">
        <v>494</v>
      </c>
    </row>
    <row r="34" spans="2:13" ht="24.75" customHeight="1">
      <c r="B34" s="800" t="str">
        <f>+'Data Entry'!B105</f>
        <v>* Includes only EFR category 4 and 5  (Health products and health equipment &amp; Medicines and Pharmaceuticals)</v>
      </c>
      <c r="C34" s="800"/>
      <c r="D34" s="800"/>
      <c r="E34" s="800"/>
      <c r="F34" s="19"/>
      <c r="G34" s="19"/>
      <c r="H34" s="214"/>
      <c r="I34" s="215"/>
      <c r="J34" s="216"/>
      <c r="K34" s="206"/>
      <c r="L34" s="20"/>
    </row>
    <row r="35" spans="2:13">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0" priority="1" stopIfTrue="1" operator="greaterThan">
      <formula>0</formula>
    </cfRule>
  </conditionalFormatting>
  <conditionalFormatting sqref="E12:E13">
    <cfRule type="cellIs" dxfId="19" priority="2" stopIfTrue="1" operator="greaterThan">
      <formula>0</formula>
    </cfRule>
  </conditionalFormatting>
  <conditionalFormatting sqref="F12:G13">
    <cfRule type="cellIs" dxfId="18" priority="3" stopIfTrue="1" operator="greaterThan">
      <formula>0</formula>
    </cfRule>
  </conditionalFormatting>
  <conditionalFormatting sqref="C4:D4">
    <cfRule type="cellIs" dxfId="17" priority="4" stopIfTrue="1" operator="equal">
      <formula>"C"</formula>
    </cfRule>
    <cfRule type="cellIs" dxfId="16" priority="5" stopIfTrue="1" operator="equal">
      <formula>"B2"</formula>
    </cfRule>
    <cfRule type="cellIs" dxfId="15" priority="6" stopIfTrue="1" operator="equal">
      <formula>"B1"</formula>
    </cfRule>
  </conditionalFormatting>
  <conditionalFormatting sqref="L30:L33">
    <cfRule type="cellIs" dxfId="14" priority="13" stopIfTrue="1" operator="lessThan">
      <formula>1</formula>
    </cfRule>
    <cfRule type="cellIs" dxfId="13" priority="14" stopIfTrue="1" operator="between">
      <formula>3</formula>
      <formula>17</formula>
    </cfRule>
    <cfRule type="cellIs" dxfId="12"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abSelected="1" zoomScale="80" zoomScaleNormal="80" workbookViewId="0">
      <selection activeCell="B20" sqref="B20:D20"/>
    </sheetView>
  </sheetViews>
  <sheetFormatPr defaultColWidth="11" defaultRowHeight="14.5"/>
  <cols>
    <col min="1" max="1" width="0.453125" customWidth="1"/>
    <col min="2" max="2" width="11.36328125" customWidth="1"/>
    <col min="3" max="3" width="16.1796875" customWidth="1"/>
    <col min="4" max="4" width="17.36328125" customWidth="1"/>
    <col min="5" max="5" width="14.1796875" customWidth="1"/>
    <col min="6" max="6" width="13" customWidth="1"/>
    <col min="7" max="7" width="5.6328125" customWidth="1"/>
    <col min="8" max="8" width="6.36328125" customWidth="1"/>
    <col min="9" max="9" width="6" customWidth="1"/>
    <col min="10" max="10" width="4.1796875" customWidth="1"/>
    <col min="11" max="11" width="12.453125" customWidth="1"/>
    <col min="12" max="12" width="8.453125" customWidth="1"/>
    <col min="13" max="13" width="5" customWidth="1"/>
    <col min="14" max="14" width="6.453125" customWidth="1"/>
    <col min="15" max="15" width="8.1796875" customWidth="1"/>
    <col min="16" max="16" width="10.6328125" customWidth="1"/>
    <col min="17" max="17" width="11.6328125" customWidth="1"/>
    <col min="18" max="18" width="22.81640625" bestFit="1" customWidth="1"/>
  </cols>
  <sheetData>
    <row r="1" spans="1:35" ht="26.25" customHeight="1">
      <c r="A1" s="3"/>
      <c r="B1" s="3"/>
      <c r="C1" s="3"/>
      <c r="D1" s="3"/>
      <c r="E1" s="3"/>
      <c r="F1" s="3"/>
      <c r="G1" s="3"/>
      <c r="H1" s="3"/>
      <c r="I1" s="3"/>
      <c r="J1" s="3"/>
      <c r="K1" s="3"/>
      <c r="L1" s="3"/>
      <c r="M1" s="3"/>
      <c r="N1" s="3"/>
      <c r="O1" s="3"/>
      <c r="P1" s="3"/>
    </row>
    <row r="2" spans="1:35" ht="21.75" customHeight="1">
      <c r="A2" s="3"/>
      <c r="B2" s="814" t="str">
        <f>+"Dashboard:  "&amp;"  "&amp;IF(+'Data Entry'!C4="Please Select","",'Data Entry'!C4&amp;" - ")&amp;IF('Data Entry'!G6="Please Select","",'Data Entry'!G6)</f>
        <v>Dashboard:    Georgia - HIV / AIDS</v>
      </c>
      <c r="C2" s="814"/>
      <c r="D2" s="814"/>
      <c r="E2" s="814"/>
      <c r="F2" s="814"/>
      <c r="G2" s="814"/>
      <c r="H2" s="814"/>
      <c r="I2" s="814"/>
      <c r="J2" s="814"/>
      <c r="K2" s="814"/>
      <c r="L2" s="814"/>
      <c r="M2" s="814"/>
      <c r="N2" s="814"/>
      <c r="O2" s="814"/>
      <c r="P2" s="814"/>
      <c r="Q2" s="814"/>
    </row>
    <row r="3" spans="1:35" ht="18.5">
      <c r="A3" s="3"/>
      <c r="B3" s="132" t="str">
        <f>+IF('Data Entry'!G8="Please Select","",'Data Entry'!G8)</f>
        <v>NFM</v>
      </c>
      <c r="C3" s="791" t="str">
        <f>+IF('Data Entry'!I8="Please Select","",'Data Entry'!I8)</f>
        <v>N/A</v>
      </c>
      <c r="D3" s="791"/>
      <c r="E3" s="790"/>
      <c r="F3" s="790"/>
      <c r="G3" s="790"/>
      <c r="H3" s="790"/>
      <c r="I3" s="817"/>
      <c r="J3" s="817"/>
      <c r="K3" s="817"/>
      <c r="L3" s="3"/>
      <c r="M3" s="3"/>
      <c r="O3" s="788" t="str">
        <f>+'Data Entry'!B16</f>
        <v>Report Period:</v>
      </c>
      <c r="P3" s="788"/>
      <c r="Q3" s="198" t="str">
        <f>+'Data Entry'!C16</f>
        <v>P12</v>
      </c>
    </row>
    <row r="4" spans="1:35" ht="12" customHeight="1">
      <c r="A4" s="3"/>
      <c r="B4" s="132" t="str">
        <f>+'Data Entry'!B12</f>
        <v>Latest Rating:</v>
      </c>
      <c r="C4" s="818" t="str">
        <f>+IF('Data Entry'!C12="Please Select","",'Data Entry'!C12)</f>
        <v>B1</v>
      </c>
      <c r="D4" s="818"/>
      <c r="E4" s="790" t="str">
        <f>+'Data Entry'!C8</f>
        <v>NCDC</v>
      </c>
      <c r="F4" s="790"/>
      <c r="G4" s="790"/>
      <c r="H4" s="790"/>
      <c r="I4" s="790"/>
      <c r="J4" s="790"/>
      <c r="K4" s="790"/>
      <c r="L4" s="790"/>
      <c r="M4" s="3"/>
      <c r="O4" s="333"/>
      <c r="P4" s="132" t="str">
        <f>+'Data Entry'!D16</f>
        <v>From:</v>
      </c>
      <c r="Q4" s="334">
        <f>+IF(ISBLANK('Data Entry'!E16),"",'Data Entry'!E16)</f>
        <v>43556</v>
      </c>
      <c r="Y4" s="71"/>
      <c r="Z4" s="71"/>
      <c r="AA4" s="71"/>
      <c r="AB4" s="71"/>
      <c r="AC4" s="71"/>
    </row>
    <row r="5" spans="1:35" ht="15.75" customHeight="1">
      <c r="A5" s="3"/>
      <c r="B5" s="132"/>
      <c r="C5" s="132"/>
      <c r="D5" s="790" t="str">
        <f>+'Data Entry'!G4</f>
        <v xml:space="preserve">Sustaining and Scaling up the Effective HIV/AIDS Prevention, Treatment and Care in Georgia </v>
      </c>
      <c r="E5" s="790"/>
      <c r="F5" s="790"/>
      <c r="G5" s="790"/>
      <c r="H5" s="790"/>
      <c r="I5" s="790"/>
      <c r="J5" s="790"/>
      <c r="K5" s="790"/>
      <c r="L5" s="790"/>
      <c r="M5" s="790"/>
      <c r="N5" s="790"/>
      <c r="P5" s="132" t="str">
        <f>+'Data Entry'!F16</f>
        <v>To:</v>
      </c>
      <c r="Q5" s="334">
        <f>+IF(ISBLANK('Data Entry'!G16),"",'Data Entry'!G16)</f>
        <v>43646</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16" t="s">
        <v>392</v>
      </c>
      <c r="G6" s="816"/>
      <c r="H6" s="816"/>
      <c r="I6" s="816"/>
      <c r="J6" s="816"/>
      <c r="K6" s="816"/>
      <c r="L6" s="223"/>
      <c r="M6" s="3"/>
      <c r="N6" s="3"/>
      <c r="O6" s="200"/>
      <c r="P6" s="256"/>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15" t="str">
        <f>+'Data Entry'!B121</f>
        <v>Percentage of PWID that have received an HIV test during the reporting period and know their results</v>
      </c>
      <c r="C8" s="815"/>
      <c r="D8" s="815"/>
      <c r="E8" s="815"/>
      <c r="F8" s="815" t="str">
        <f>+'Data Entry'!B123</f>
        <v>Percentage of MSM reached with HIV prevention programs - defined package of services</v>
      </c>
      <c r="G8" s="815"/>
      <c r="H8" s="815"/>
      <c r="I8" s="815"/>
      <c r="J8" s="815"/>
      <c r="K8" s="815"/>
      <c r="L8" s="815" t="str">
        <f>+'Data Entry'!B125</f>
        <v xml:space="preserve">Percentage of people living with HIV currently receiving antiretroviral therapy </v>
      </c>
      <c r="M8" s="815"/>
      <c r="N8" s="815"/>
      <c r="O8" s="815"/>
      <c r="P8" s="815"/>
      <c r="Q8" s="815"/>
      <c r="S8" s="225"/>
      <c r="T8" s="225"/>
      <c r="U8" s="225"/>
      <c r="V8" s="225"/>
      <c r="W8" s="225"/>
      <c r="X8" s="225"/>
      <c r="Y8" s="71"/>
      <c r="Z8" s="71"/>
      <c r="AA8" s="71"/>
      <c r="AB8" s="71"/>
      <c r="AC8" s="71"/>
      <c r="AD8" s="225"/>
      <c r="AE8" s="225"/>
      <c r="AF8" s="225"/>
      <c r="AG8" s="225"/>
      <c r="AH8" s="225"/>
      <c r="AI8" s="225"/>
    </row>
    <row r="9" spans="1:35" ht="24" customHeight="1">
      <c r="A9" s="3"/>
      <c r="B9" s="438" t="s">
        <v>410</v>
      </c>
      <c r="C9" s="840"/>
      <c r="D9" s="843"/>
      <c r="E9" s="844"/>
      <c r="F9" s="438" t="s">
        <v>411</v>
      </c>
      <c r="G9" s="840"/>
      <c r="H9" s="845"/>
      <c r="I9" s="845"/>
      <c r="J9" s="845"/>
      <c r="K9" s="846"/>
      <c r="L9" s="438" t="s">
        <v>412</v>
      </c>
      <c r="M9" s="840"/>
      <c r="N9" s="841"/>
      <c r="O9" s="841"/>
      <c r="P9" s="841"/>
      <c r="Q9" s="842"/>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51"/>
      <c r="F18" s="851"/>
      <c r="G18" s="851"/>
      <c r="H18" s="851"/>
      <c r="I18" s="851"/>
      <c r="J18" s="851"/>
      <c r="K18" s="851"/>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52" t="s">
        <v>88</v>
      </c>
      <c r="C19" s="852"/>
      <c r="D19" s="852"/>
      <c r="E19" s="143" t="s">
        <v>85</v>
      </c>
      <c r="F19" s="143" t="s">
        <v>89</v>
      </c>
      <c r="G19" s="847" t="s">
        <v>332</v>
      </c>
      <c r="H19" s="848"/>
      <c r="I19" s="849" t="s">
        <v>333</v>
      </c>
      <c r="J19" s="850"/>
      <c r="K19" s="332" t="s">
        <v>334</v>
      </c>
      <c r="L19" s="853" t="s">
        <v>92</v>
      </c>
      <c r="M19" s="854"/>
      <c r="N19" s="854"/>
      <c r="O19" s="854"/>
      <c r="P19" s="854"/>
      <c r="Q19" s="855"/>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23" t="str">
        <f>+'Data Entry'!B121</f>
        <v>Percentage of PWID that have received an HIV test during the reporting period and know their results</v>
      </c>
      <c r="C20" s="823"/>
      <c r="D20" s="823"/>
      <c r="E20" s="459">
        <f>'Data Entry'!S121</f>
        <v>17062.5</v>
      </c>
      <c r="F20" s="538">
        <f>'Data Entry'!S122</f>
        <v>16211</v>
      </c>
      <c r="G20" s="811">
        <f t="shared" ref="G20:G27" si="0">+IF(ISERROR(F20/E20),0,F20/E20)</f>
        <v>0.9500952380952381</v>
      </c>
      <c r="H20" s="812"/>
      <c r="I20" s="812"/>
      <c r="J20" s="812"/>
      <c r="K20" s="813"/>
      <c r="L20" s="832"/>
      <c r="M20" s="833"/>
      <c r="N20" s="833"/>
      <c r="O20" s="833"/>
      <c r="P20" s="833"/>
      <c r="Q20" s="834"/>
      <c r="R20" s="520"/>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23" t="str">
        <f>+'Data Entry'!B123</f>
        <v>Percentage of MSM reached with HIV prevention programs - defined package of services</v>
      </c>
      <c r="C21" s="823"/>
      <c r="D21" s="823"/>
      <c r="E21" s="459">
        <f>'Data Entry'!S123</f>
        <v>4162.5</v>
      </c>
      <c r="F21" s="538">
        <f>'Data Entry'!S124</f>
        <v>4847</v>
      </c>
      <c r="G21" s="811">
        <f t="shared" si="0"/>
        <v>1.1644444444444444</v>
      </c>
      <c r="H21" s="812"/>
      <c r="I21" s="812"/>
      <c r="J21" s="812"/>
      <c r="K21" s="813"/>
      <c r="L21" s="832"/>
      <c r="M21" s="833"/>
      <c r="N21" s="833"/>
      <c r="O21" s="833"/>
      <c r="P21" s="833"/>
      <c r="Q21" s="834"/>
      <c r="R21" s="534"/>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60.75" customHeight="1">
      <c r="A22" s="3"/>
      <c r="B22" s="823" t="str">
        <f>+'Data Entry'!B125</f>
        <v xml:space="preserve">Percentage of people living with HIV currently receiving antiretroviral therapy </v>
      </c>
      <c r="C22" s="823"/>
      <c r="D22" s="823"/>
      <c r="E22" s="459">
        <f>'Data Entry'!S125</f>
        <v>5500</v>
      </c>
      <c r="F22" s="538">
        <f>'Data Entry'!S126</f>
        <v>4798</v>
      </c>
      <c r="G22" s="811">
        <f t="shared" si="0"/>
        <v>0.87236363636363634</v>
      </c>
      <c r="H22" s="812"/>
      <c r="I22" s="812"/>
      <c r="J22" s="812"/>
      <c r="K22" s="813"/>
      <c r="L22" s="832" t="s">
        <v>495</v>
      </c>
      <c r="M22" s="833"/>
      <c r="N22" s="833"/>
      <c r="O22" s="833"/>
      <c r="P22" s="833"/>
      <c r="Q22" s="834"/>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20" t="str">
        <f>+'Data Entry'!B127</f>
        <v>Percentage of PWID reached with HIV prevention programs - defined package of services</v>
      </c>
      <c r="C23" s="821"/>
      <c r="D23" s="822"/>
      <c r="E23" s="459">
        <f>'Data Entry'!S127</f>
        <v>18375</v>
      </c>
      <c r="F23" s="538">
        <f>'Data Entry'!S128</f>
        <v>24934</v>
      </c>
      <c r="G23" s="811">
        <f t="shared" si="0"/>
        <v>1.3569523809523809</v>
      </c>
      <c r="H23" s="812"/>
      <c r="I23" s="812"/>
      <c r="J23" s="812"/>
      <c r="K23" s="813"/>
      <c r="L23" s="836"/>
      <c r="M23" s="837"/>
      <c r="N23" s="837"/>
      <c r="O23" s="837"/>
      <c r="P23" s="837"/>
      <c r="Q23" s="838"/>
      <c r="R23" s="520"/>
      <c r="S23" s="69">
        <f>25049</f>
        <v>25049</v>
      </c>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23" t="str">
        <f>+'Data Entry'!B129</f>
        <v>Percentage of MSM that have received an HIV test during the reporting period and know their results</v>
      </c>
      <c r="C24" s="823"/>
      <c r="D24" s="823"/>
      <c r="E24" s="459">
        <f>'Data Entry'!S129</f>
        <v>2775</v>
      </c>
      <c r="F24" s="538">
        <f>'Data Entry'!S130</f>
        <v>2557</v>
      </c>
      <c r="G24" s="824">
        <f t="shared" si="0"/>
        <v>0.92144144144144147</v>
      </c>
      <c r="H24" s="825"/>
      <c r="I24" s="825"/>
      <c r="J24" s="825"/>
      <c r="K24" s="826"/>
      <c r="L24" s="832"/>
      <c r="M24" s="833"/>
      <c r="N24" s="833"/>
      <c r="O24" s="833"/>
      <c r="P24" s="833"/>
      <c r="Q24" s="834"/>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23" t="str">
        <f>+'Data Entry'!B131</f>
        <v>Percentage of sex workers reached with HIV prevention programs - defined package of services</v>
      </c>
      <c r="C25" s="823"/>
      <c r="D25" s="823"/>
      <c r="E25" s="459">
        <f>'Data Entry'!S131</f>
        <v>1950</v>
      </c>
      <c r="F25" s="538">
        <f>'Data Entry'!S132</f>
        <v>2935</v>
      </c>
      <c r="G25" s="811">
        <f t="shared" si="0"/>
        <v>1.5051282051282051</v>
      </c>
      <c r="H25" s="812"/>
      <c r="I25" s="812"/>
      <c r="J25" s="812"/>
      <c r="K25" s="813"/>
      <c r="L25" s="832"/>
      <c r="M25" s="833"/>
      <c r="N25" s="833"/>
      <c r="O25" s="833"/>
      <c r="P25" s="833"/>
      <c r="Q25" s="834"/>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58.5" customHeight="1">
      <c r="A26" s="3"/>
      <c r="B26" s="823" t="str">
        <f>+'Data Entry'!B133</f>
        <v>Percentage of sex workers that have received an HIV test during the reporting period and know their results</v>
      </c>
      <c r="C26" s="823"/>
      <c r="D26" s="823"/>
      <c r="E26" s="459">
        <f>'Data Entry'!S133</f>
        <v>1462.5</v>
      </c>
      <c r="F26" s="538">
        <f>'Data Entry'!S134</f>
        <v>1393</v>
      </c>
      <c r="G26" s="811">
        <f t="shared" si="0"/>
        <v>0.95247863247863251</v>
      </c>
      <c r="H26" s="812"/>
      <c r="I26" s="812"/>
      <c r="J26" s="812"/>
      <c r="K26" s="813"/>
      <c r="L26" s="832"/>
      <c r="M26" s="833"/>
      <c r="N26" s="833"/>
      <c r="O26" s="833"/>
      <c r="P26" s="833"/>
      <c r="Q26" s="834"/>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61.5" customHeight="1">
      <c r="A27" s="3"/>
      <c r="B27" s="823" t="str">
        <f>+'Data Entry'!B135</f>
        <v>Percentage of other vulnerable populations (prisoners) that have received an HIV test during the reporting period and know their results</v>
      </c>
      <c r="C27" s="823"/>
      <c r="D27" s="823"/>
      <c r="E27" s="459">
        <f>'Data Entry'!S135</f>
        <v>2345</v>
      </c>
      <c r="F27" s="538">
        <f>'Data Entry'!S136</f>
        <v>3073</v>
      </c>
      <c r="G27" s="811">
        <f t="shared" si="0"/>
        <v>1.3104477611940299</v>
      </c>
      <c r="H27" s="812"/>
      <c r="I27" s="812"/>
      <c r="J27" s="812"/>
      <c r="K27" s="813"/>
      <c r="L27" s="832" t="s">
        <v>496</v>
      </c>
      <c r="M27" s="833"/>
      <c r="N27" s="833"/>
      <c r="O27" s="833"/>
      <c r="P27" s="833"/>
      <c r="Q27" s="834"/>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496"/>
      <c r="B28" s="831" t="s">
        <v>453</v>
      </c>
      <c r="C28" s="831"/>
      <c r="D28" s="831"/>
      <c r="E28" s="485"/>
      <c r="F28" s="485"/>
      <c r="G28" s="839" t="e">
        <f>F28/E28</f>
        <v>#DIV/0!</v>
      </c>
      <c r="H28" s="839"/>
      <c r="I28" s="839"/>
      <c r="J28" s="839"/>
      <c r="K28" s="839"/>
      <c r="L28" s="835"/>
      <c r="M28" s="835"/>
      <c r="N28" s="835"/>
      <c r="O28" s="835"/>
      <c r="P28" s="835"/>
      <c r="Q28" s="835"/>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27"/>
      <c r="C31" s="827"/>
      <c r="D31" s="827"/>
      <c r="E31" s="828"/>
      <c r="F31" s="829"/>
      <c r="G31" s="830"/>
      <c r="H31" s="830"/>
      <c r="I31" s="830"/>
      <c r="J31" s="830"/>
      <c r="K31" s="828"/>
      <c r="L31" s="829"/>
      <c r="M31" s="830"/>
      <c r="N31" s="830"/>
      <c r="O31" s="830"/>
      <c r="P31" s="83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19"/>
      <c r="C33" s="819"/>
      <c r="D33" s="819"/>
      <c r="E33" s="819"/>
      <c r="F33" s="819"/>
      <c r="G33" s="819"/>
      <c r="H33" s="819"/>
      <c r="I33" s="819"/>
      <c r="J33" s="819"/>
      <c r="K33" s="819"/>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19"/>
      <c r="C34" s="819"/>
      <c r="D34" s="819"/>
      <c r="E34" s="819"/>
      <c r="F34" s="819"/>
      <c r="G34" s="819"/>
      <c r="H34" s="819"/>
      <c r="I34" s="819"/>
      <c r="J34" s="819"/>
      <c r="K34" s="819"/>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 ref="L31:P31"/>
    <mergeCell ref="L20:Q20"/>
    <mergeCell ref="L21:Q21"/>
    <mergeCell ref="L22:Q22"/>
    <mergeCell ref="L28:Q28"/>
    <mergeCell ref="L23:Q23"/>
    <mergeCell ref="L24:Q24"/>
    <mergeCell ref="L25:Q25"/>
    <mergeCell ref="L26:Q26"/>
    <mergeCell ref="L27:Q27"/>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G20:K20"/>
    <mergeCell ref="G21:K21"/>
    <mergeCell ref="G22:K22"/>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8">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16" zoomScale="130" zoomScaleNormal="130" zoomScalePageLayoutView="130" workbookViewId="0">
      <selection activeCell="D40" sqref="D40:G40"/>
    </sheetView>
  </sheetViews>
  <sheetFormatPr defaultColWidth="11.453125" defaultRowHeight="11.5"/>
  <cols>
    <col min="1" max="1" width="1.1796875" style="31" customWidth="1"/>
    <col min="2" max="2" width="19.36328125" style="31" customWidth="1"/>
    <col min="3" max="3" width="1.1796875" style="31" customWidth="1"/>
    <col min="4" max="4" width="17.1796875" style="31" customWidth="1"/>
    <col min="5" max="5" width="17.453125" style="31" customWidth="1"/>
    <col min="6" max="6" width="9.6328125" style="31" customWidth="1"/>
    <col min="7" max="7" width="13" style="31" customWidth="1"/>
    <col min="8" max="8" width="4.36328125" style="31" customWidth="1"/>
    <col min="9" max="9" width="15.81640625" style="31" customWidth="1"/>
    <col min="10" max="10" width="3.453125" style="31" customWidth="1"/>
    <col min="11" max="11" width="7.453125" style="32" customWidth="1"/>
    <col min="12" max="12" width="14.36328125" style="31" customWidth="1"/>
    <col min="13" max="13" width="12" style="31" customWidth="1"/>
    <col min="14" max="14" width="5.453125" style="31" customWidth="1"/>
    <col min="15" max="15" width="2.453125" style="31" customWidth="1"/>
    <col min="16" max="16384" width="11.45312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14" t="str">
        <f>+"Dashboard:  "&amp;"  "&amp;IF(+'Data Entry'!C4="Please Select","",'Data Entry'!C4&amp;" - ")&amp;IF('Data Entry'!G6="Please Select","",'Data Entry'!G6)</f>
        <v>Dashboard:    Georgia - HIV / AIDS</v>
      </c>
      <c r="C2" s="814"/>
      <c r="D2" s="814"/>
      <c r="E2" s="814"/>
      <c r="F2" s="814"/>
      <c r="G2" s="814"/>
      <c r="H2" s="814"/>
      <c r="I2" s="814"/>
      <c r="J2" s="814"/>
      <c r="K2" s="814"/>
      <c r="L2" s="814"/>
      <c r="M2" s="814"/>
      <c r="N2" s="814"/>
      <c r="O2" s="73"/>
    </row>
    <row r="3" spans="1:15" customFormat="1" ht="18.5">
      <c r="A3" s="3"/>
      <c r="B3" s="132" t="str">
        <f>+IF('Data Entry'!G8="Please Select","",'Data Entry'!G8)</f>
        <v>NFM</v>
      </c>
      <c r="C3" s="791" t="str">
        <f>+IF('Data Entry'!I8="Please Select","",'Data Entry'!I8)</f>
        <v>N/A</v>
      </c>
      <c r="D3" s="791"/>
      <c r="E3" s="817"/>
      <c r="F3" s="817"/>
      <c r="G3" s="817"/>
      <c r="H3" s="817"/>
      <c r="I3" s="817"/>
      <c r="J3" s="817"/>
      <c r="K3" s="817"/>
      <c r="L3" s="132" t="str">
        <f>+'Data Entry'!B16</f>
        <v>Report Period:</v>
      </c>
      <c r="M3" s="198" t="str">
        <f>+'Data Entry'!C16</f>
        <v>P12</v>
      </c>
      <c r="N3" s="198"/>
      <c r="O3" s="31"/>
    </row>
    <row r="4" spans="1:15" customFormat="1" ht="14.5">
      <c r="A4" s="3"/>
      <c r="B4" s="132" t="str">
        <f>+'Data Entry'!B12</f>
        <v>Latest Rating:</v>
      </c>
      <c r="C4" s="818" t="str">
        <f>+IF('Data Entry'!C12="Please Select","",'Data Entry'!C12)</f>
        <v>B1</v>
      </c>
      <c r="D4" s="818"/>
      <c r="E4" s="790" t="str">
        <f>+'Data Entry'!C8</f>
        <v>NCDC</v>
      </c>
      <c r="F4" s="790"/>
      <c r="G4" s="790"/>
      <c r="H4" s="790"/>
      <c r="I4" s="790"/>
      <c r="J4" s="790"/>
      <c r="K4" s="790"/>
      <c r="L4" s="132" t="str">
        <f>+'Data Entry'!D16</f>
        <v>From:</v>
      </c>
      <c r="M4" s="199">
        <f>+IF(ISBLANK('Data Entry'!E16),"",'Data Entry'!E16)</f>
        <v>43556</v>
      </c>
      <c r="N4" s="199"/>
      <c r="O4" s="31"/>
    </row>
    <row r="5" spans="1:15" customFormat="1" ht="18.75" customHeight="1">
      <c r="A5" s="3"/>
      <c r="B5" s="132"/>
      <c r="C5" s="132"/>
      <c r="D5" s="133"/>
      <c r="E5" s="790" t="str">
        <f>+'Data Entry'!G4</f>
        <v xml:space="preserve">Sustaining and Scaling up the Effective HIV/AIDS Prevention, Treatment and Care in Georgia </v>
      </c>
      <c r="F5" s="790"/>
      <c r="G5" s="790"/>
      <c r="H5" s="790"/>
      <c r="I5" s="790"/>
      <c r="J5" s="790"/>
      <c r="K5" s="790"/>
      <c r="L5" s="132" t="str">
        <f>+'Data Entry'!F16</f>
        <v>To:</v>
      </c>
      <c r="M5" s="199">
        <f>+IF(ISBLANK('Data Entry'!G16),"",'Data Entry'!G16)</f>
        <v>43646</v>
      </c>
      <c r="N5" s="199"/>
    </row>
    <row r="6" spans="1:15" customFormat="1" ht="22.5" customHeight="1">
      <c r="A6" s="3"/>
      <c r="B6" s="137"/>
      <c r="C6" s="138"/>
      <c r="D6" s="139"/>
      <c r="E6" s="895" t="s">
        <v>315</v>
      </c>
      <c r="F6" s="895"/>
      <c r="G6" s="895"/>
      <c r="H6" s="895"/>
      <c r="I6" s="895"/>
      <c r="J6" s="895"/>
      <c r="K6" s="895"/>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59" t="s">
        <v>98</v>
      </c>
      <c r="C8" s="859"/>
      <c r="D8" s="859"/>
      <c r="E8" s="859"/>
      <c r="F8" s="859"/>
      <c r="G8" s="859"/>
      <c r="H8" s="859"/>
      <c r="I8" s="859"/>
      <c r="J8" s="859"/>
      <c r="K8" s="859"/>
      <c r="L8" s="859"/>
      <c r="M8" s="859"/>
      <c r="N8" s="859"/>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80" t="s">
        <v>93</v>
      </c>
      <c r="C10" s="872"/>
      <c r="D10" s="860" t="s">
        <v>97</v>
      </c>
      <c r="E10" s="861"/>
      <c r="F10" s="861"/>
      <c r="G10" s="862"/>
      <c r="H10" s="159"/>
      <c r="I10" s="860" t="s">
        <v>315</v>
      </c>
      <c r="J10" s="861"/>
      <c r="K10" s="861"/>
      <c r="L10" s="861"/>
      <c r="M10" s="861"/>
      <c r="N10" s="862"/>
    </row>
    <row r="11" spans="1:15" s="34" customFormat="1" ht="28.5" customHeight="1">
      <c r="A11" s="156"/>
      <c r="B11" s="409" t="s">
        <v>101</v>
      </c>
      <c r="C11" s="176"/>
      <c r="D11" s="883" t="str">
        <f>IF(ISBLANK(Finance!C9),"",(Finance!C9))</f>
        <v/>
      </c>
      <c r="E11" s="883"/>
      <c r="F11" s="883"/>
      <c r="G11" s="884"/>
      <c r="H11" s="182"/>
      <c r="I11" s="886"/>
      <c r="J11" s="887"/>
      <c r="K11" s="887"/>
      <c r="L11" s="887"/>
      <c r="M11" s="887"/>
      <c r="N11" s="888"/>
    </row>
    <row r="12" spans="1:15" s="34" customFormat="1" ht="27.75" customHeight="1">
      <c r="A12" s="156"/>
      <c r="B12" s="410" t="s">
        <v>102</v>
      </c>
      <c r="C12" s="177"/>
      <c r="D12" s="883" t="str">
        <f>IF(ISBLANK(Finance!C23),"",(Finance!C23))</f>
        <v/>
      </c>
      <c r="E12" s="883"/>
      <c r="F12" s="883"/>
      <c r="G12" s="884"/>
      <c r="H12" s="182"/>
      <c r="I12" s="874"/>
      <c r="J12" s="875"/>
      <c r="K12" s="875"/>
      <c r="L12" s="875"/>
      <c r="M12" s="875"/>
      <c r="N12" s="876"/>
    </row>
    <row r="13" spans="1:15" s="34" customFormat="1" ht="26.25" customHeight="1">
      <c r="A13" s="156"/>
      <c r="B13" s="410" t="s">
        <v>103</v>
      </c>
      <c r="C13" s="177"/>
      <c r="D13" s="883" t="str">
        <f>IF(ISBLANK(Finance!I9),"",(Finance!I9))</f>
        <v/>
      </c>
      <c r="E13" s="883"/>
      <c r="F13" s="883"/>
      <c r="G13" s="884"/>
      <c r="H13" s="182"/>
      <c r="I13" s="874"/>
      <c r="J13" s="875"/>
      <c r="K13" s="875"/>
      <c r="L13" s="875"/>
      <c r="M13" s="875"/>
      <c r="N13" s="876"/>
    </row>
    <row r="14" spans="1:15" s="34" customFormat="1" ht="28.5" customHeight="1" thickBot="1">
      <c r="A14" s="156"/>
      <c r="B14" s="411" t="s">
        <v>104</v>
      </c>
      <c r="C14" s="178"/>
      <c r="D14" s="881" t="str">
        <f>IF(ISBLANK(Finance!I23),"",(Finance!I23))</f>
        <v/>
      </c>
      <c r="E14" s="881"/>
      <c r="F14" s="881"/>
      <c r="G14" s="882"/>
      <c r="H14" s="182"/>
      <c r="I14" s="877"/>
      <c r="J14" s="878"/>
      <c r="K14" s="878"/>
      <c r="L14" s="878"/>
      <c r="M14" s="878"/>
      <c r="N14" s="879"/>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59" t="s">
        <v>100</v>
      </c>
      <c r="C16" s="859"/>
      <c r="D16" s="859"/>
      <c r="E16" s="859"/>
      <c r="F16" s="859"/>
      <c r="G16" s="859"/>
      <c r="H16" s="859"/>
      <c r="I16" s="859"/>
      <c r="J16" s="859"/>
      <c r="K16" s="859"/>
      <c r="L16" s="859"/>
      <c r="M16" s="859"/>
      <c r="N16" s="859"/>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872" t="s">
        <v>94</v>
      </c>
      <c r="C18" s="873"/>
      <c r="D18" s="892" t="s">
        <v>97</v>
      </c>
      <c r="E18" s="893"/>
      <c r="F18" s="893"/>
      <c r="G18" s="894"/>
      <c r="H18" s="159"/>
      <c r="I18" s="889" t="s">
        <v>315</v>
      </c>
      <c r="J18" s="890"/>
      <c r="K18" s="890"/>
      <c r="L18" s="890"/>
      <c r="M18" s="891"/>
      <c r="N18" s="891"/>
    </row>
    <row r="19" spans="1:15" s="34" customFormat="1" ht="21.75" customHeight="1">
      <c r="A19" s="156"/>
      <c r="B19" s="412" t="s">
        <v>109</v>
      </c>
      <c r="C19" s="184"/>
      <c r="D19" s="899" t="str">
        <f>IF(ISBLANK(Management!C8),"",(Management!C8))</f>
        <v/>
      </c>
      <c r="E19" s="899"/>
      <c r="F19" s="899"/>
      <c r="G19" s="900"/>
      <c r="H19" s="185"/>
      <c r="I19" s="863"/>
      <c r="J19" s="864"/>
      <c r="K19" s="864"/>
      <c r="L19" s="864"/>
      <c r="M19" s="864"/>
      <c r="N19" s="865"/>
    </row>
    <row r="20" spans="1:15" ht="24.75" customHeight="1">
      <c r="A20" s="150"/>
      <c r="B20" s="413" t="s">
        <v>110</v>
      </c>
      <c r="C20" s="186"/>
      <c r="D20" s="883" t="str">
        <f>IF(ISBLANK(Management!I8),"",(Management!I8))</f>
        <v/>
      </c>
      <c r="E20" s="883" t="e">
        <f>+'Data Entry'!D76/'Data Entry'!G76</f>
        <v>#DIV/0!</v>
      </c>
      <c r="F20" s="883" t="e">
        <f>+('Data Entry'!E76+'Data Entry'!F76)/'Data Entry'!G76</f>
        <v>#DIV/0!</v>
      </c>
      <c r="G20" s="885"/>
      <c r="H20" s="185"/>
      <c r="I20" s="869"/>
      <c r="J20" s="870"/>
      <c r="K20" s="870"/>
      <c r="L20" s="870"/>
      <c r="M20" s="870"/>
      <c r="N20" s="871"/>
      <c r="O20" s="35"/>
    </row>
    <row r="21" spans="1:15" ht="29.25" customHeight="1">
      <c r="A21" s="150"/>
      <c r="B21" s="414" t="s">
        <v>111</v>
      </c>
      <c r="C21" s="186"/>
      <c r="D21" s="883" t="str">
        <f>IF(ISBLANK(Management!C16),"",(Management!C16))</f>
        <v/>
      </c>
      <c r="E21" s="883"/>
      <c r="F21" s="883"/>
      <c r="G21" s="885"/>
      <c r="H21" s="185"/>
      <c r="I21" s="869"/>
      <c r="J21" s="870"/>
      <c r="K21" s="870"/>
      <c r="L21" s="870"/>
      <c r="M21" s="870"/>
      <c r="N21" s="871"/>
      <c r="O21" s="35"/>
    </row>
    <row r="22" spans="1:15" ht="26.25" customHeight="1">
      <c r="A22" s="150"/>
      <c r="B22" s="414" t="s">
        <v>112</v>
      </c>
      <c r="C22" s="186"/>
      <c r="D22" s="883" t="str">
        <f>IF(ISBLANK(Management!I16),"",(Management!I16))</f>
        <v/>
      </c>
      <c r="E22" s="883"/>
      <c r="F22" s="883"/>
      <c r="G22" s="885"/>
      <c r="H22" s="185"/>
      <c r="I22" s="869"/>
      <c r="J22" s="870"/>
      <c r="K22" s="870"/>
      <c r="L22" s="870"/>
      <c r="M22" s="870"/>
      <c r="N22" s="871"/>
      <c r="O22" s="35"/>
    </row>
    <row r="23" spans="1:15" ht="24.75" customHeight="1">
      <c r="A23" s="150"/>
      <c r="B23" s="414" t="s">
        <v>113</v>
      </c>
      <c r="C23" s="186"/>
      <c r="D23" s="883" t="str">
        <f>IF(ISBLANK(Management!C27),"",(Management!C27))</f>
        <v/>
      </c>
      <c r="E23" s="883"/>
      <c r="F23" s="883"/>
      <c r="G23" s="885"/>
      <c r="H23" s="185"/>
      <c r="I23" s="869"/>
      <c r="J23" s="870"/>
      <c r="K23" s="870"/>
      <c r="L23" s="870"/>
      <c r="M23" s="870"/>
      <c r="N23" s="871"/>
      <c r="O23" s="35"/>
    </row>
    <row r="24" spans="1:15" ht="27" customHeight="1" thickBot="1">
      <c r="A24" s="150"/>
      <c r="B24" s="415" t="s">
        <v>115</v>
      </c>
      <c r="C24" s="187"/>
      <c r="D24" s="902" t="str">
        <f>IF(ISBLANK(Management!I27),"",(Management!I27))</f>
        <v/>
      </c>
      <c r="E24" s="902"/>
      <c r="F24" s="902"/>
      <c r="G24" s="903"/>
      <c r="H24" s="185"/>
      <c r="I24" s="866"/>
      <c r="J24" s="867"/>
      <c r="K24" s="867"/>
      <c r="L24" s="867"/>
      <c r="M24" s="867"/>
      <c r="N24" s="868"/>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59" t="s">
        <v>99</v>
      </c>
      <c r="C26" s="859"/>
      <c r="D26" s="859"/>
      <c r="E26" s="859"/>
      <c r="F26" s="859"/>
      <c r="G26" s="859"/>
      <c r="H26" s="859"/>
      <c r="I26" s="859"/>
      <c r="J26" s="859"/>
      <c r="K26" s="859"/>
      <c r="L26" s="859"/>
      <c r="M26" s="859"/>
      <c r="N26" s="859"/>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80" t="s">
        <v>7</v>
      </c>
      <c r="C28" s="873"/>
      <c r="D28" s="907" t="s">
        <v>97</v>
      </c>
      <c r="E28" s="908"/>
      <c r="F28" s="908"/>
      <c r="G28" s="909"/>
      <c r="H28" s="159"/>
      <c r="I28" s="907" t="s">
        <v>315</v>
      </c>
      <c r="J28" s="908"/>
      <c r="K28" s="908"/>
      <c r="L28" s="908"/>
      <c r="M28" s="908"/>
      <c r="N28" s="909"/>
      <c r="O28" s="35"/>
    </row>
    <row r="29" spans="1:15" ht="29.25" customHeight="1">
      <c r="A29" s="150"/>
      <c r="B29" s="416" t="s">
        <v>316</v>
      </c>
      <c r="C29" s="188"/>
      <c r="D29" s="910" t="str">
        <f>IF(ISBLANK(Programmatic!C9),"",(Programmatic!C9))</f>
        <v/>
      </c>
      <c r="E29" s="911"/>
      <c r="F29" s="911"/>
      <c r="G29" s="912"/>
      <c r="H29" s="185"/>
      <c r="I29" s="904"/>
      <c r="J29" s="905"/>
      <c r="K29" s="905"/>
      <c r="L29" s="905"/>
      <c r="M29" s="905"/>
      <c r="N29" s="906"/>
      <c r="O29" s="35"/>
    </row>
    <row r="30" spans="1:15" ht="21.75" customHeight="1">
      <c r="A30" s="150"/>
      <c r="B30" s="417" t="s">
        <v>317</v>
      </c>
      <c r="C30" s="189"/>
      <c r="D30" s="901" t="str">
        <f>IF(ISBLANK(Programmatic!G9),"",(Programmatic!G9))</f>
        <v/>
      </c>
      <c r="E30" s="897"/>
      <c r="F30" s="897"/>
      <c r="G30" s="898"/>
      <c r="H30" s="185"/>
      <c r="I30" s="856"/>
      <c r="J30" s="857"/>
      <c r="K30" s="857"/>
      <c r="L30" s="857"/>
      <c r="M30" s="857"/>
      <c r="N30" s="858"/>
      <c r="O30" s="35"/>
    </row>
    <row r="31" spans="1:15" ht="21.75" customHeight="1">
      <c r="A31" s="150"/>
      <c r="B31" s="417" t="s">
        <v>318</v>
      </c>
      <c r="C31" s="189"/>
      <c r="D31" s="901" t="str">
        <f>IF(ISBLANK(Programmatic!M9),"",(Programmatic!M9))</f>
        <v/>
      </c>
      <c r="E31" s="897"/>
      <c r="F31" s="897"/>
      <c r="G31" s="898"/>
      <c r="H31" s="185"/>
      <c r="I31" s="856"/>
      <c r="J31" s="857"/>
      <c r="K31" s="857"/>
      <c r="L31" s="857"/>
      <c r="M31" s="857"/>
      <c r="N31" s="858"/>
      <c r="O31" s="35"/>
    </row>
    <row r="32" spans="1:15" ht="21.75" customHeight="1">
      <c r="A32" s="150"/>
      <c r="B32" s="418" t="s">
        <v>105</v>
      </c>
      <c r="C32" s="189"/>
      <c r="D32" s="896" t="str">
        <f>IF(ISBLANK(Programmatic!L20),"",(Programmatic!L20))</f>
        <v/>
      </c>
      <c r="E32" s="897"/>
      <c r="F32" s="897"/>
      <c r="G32" s="898"/>
      <c r="H32" s="185"/>
      <c r="I32" s="856"/>
      <c r="J32" s="857"/>
      <c r="K32" s="857"/>
      <c r="L32" s="857"/>
      <c r="M32" s="857"/>
      <c r="N32" s="858"/>
      <c r="O32" s="35"/>
    </row>
    <row r="33" spans="1:15" ht="27" customHeight="1">
      <c r="A33" s="150"/>
      <c r="B33" s="418" t="s">
        <v>106</v>
      </c>
      <c r="C33" s="189"/>
      <c r="D33" s="896" t="str">
        <f>IF(ISBLANK(Programmatic!L21),"",(Programmatic!L21))</f>
        <v/>
      </c>
      <c r="E33" s="897"/>
      <c r="F33" s="897"/>
      <c r="G33" s="898"/>
      <c r="H33" s="185"/>
      <c r="I33" s="856"/>
      <c r="J33" s="857"/>
      <c r="K33" s="857"/>
      <c r="L33" s="857"/>
      <c r="M33" s="857"/>
      <c r="N33" s="858"/>
      <c r="O33" s="35"/>
    </row>
    <row r="34" spans="1:15" ht="21.75" customHeight="1">
      <c r="A34" s="150"/>
      <c r="B34" s="418" t="s">
        <v>107</v>
      </c>
      <c r="C34" s="189"/>
      <c r="D34" s="896" t="str">
        <f>IF(ISBLANK(Programmatic!L22),"",(Programmatic!L22))</f>
        <v>Annual Target</v>
      </c>
      <c r="E34" s="897"/>
      <c r="F34" s="897"/>
      <c r="G34" s="898"/>
      <c r="H34" s="185"/>
      <c r="I34" s="856"/>
      <c r="J34" s="857"/>
      <c r="K34" s="857"/>
      <c r="L34" s="857"/>
      <c r="M34" s="857"/>
      <c r="N34" s="858"/>
      <c r="O34" s="35"/>
    </row>
    <row r="35" spans="1:15" ht="21.75" customHeight="1">
      <c r="A35" s="150"/>
      <c r="B35" s="418" t="s">
        <v>108</v>
      </c>
      <c r="C35" s="232"/>
      <c r="D35" s="896" t="str">
        <f>IF(ISBLANK(Programmatic!L23),"",(Programmatic!L23))</f>
        <v/>
      </c>
      <c r="E35" s="897"/>
      <c r="F35" s="897"/>
      <c r="G35" s="898"/>
      <c r="H35" s="185"/>
      <c r="I35" s="856"/>
      <c r="J35" s="857"/>
      <c r="K35" s="857"/>
      <c r="L35" s="857"/>
      <c r="M35" s="857"/>
      <c r="N35" s="858"/>
      <c r="O35" s="35"/>
    </row>
    <row r="36" spans="1:15" ht="21.75" customHeight="1">
      <c r="A36" s="150"/>
      <c r="B36" s="418" t="s">
        <v>120</v>
      </c>
      <c r="C36" s="232"/>
      <c r="D36" s="896" t="str">
        <f>IF(ISBLANK(Programmatic!L24),"",(Programmatic!L24))</f>
        <v/>
      </c>
      <c r="E36" s="897"/>
      <c r="F36" s="897"/>
      <c r="G36" s="898"/>
      <c r="H36" s="185"/>
      <c r="I36" s="856"/>
      <c r="J36" s="857"/>
      <c r="K36" s="857"/>
      <c r="L36" s="857"/>
      <c r="M36" s="857"/>
      <c r="N36" s="858"/>
      <c r="O36" s="35"/>
    </row>
    <row r="37" spans="1:15" ht="21.75" customHeight="1">
      <c r="A37" s="150"/>
      <c r="B37" s="418" t="s">
        <v>121</v>
      </c>
      <c r="C37" s="232"/>
      <c r="D37" s="896" t="str">
        <f>IF(ISBLANK(Programmatic!L25),"",(Programmatic!L25))</f>
        <v/>
      </c>
      <c r="E37" s="897"/>
      <c r="F37" s="897"/>
      <c r="G37" s="898"/>
      <c r="H37" s="185"/>
      <c r="I37" s="856"/>
      <c r="J37" s="857"/>
      <c r="K37" s="857"/>
      <c r="L37" s="857"/>
      <c r="M37" s="857"/>
      <c r="N37" s="858"/>
      <c r="O37" s="35"/>
    </row>
    <row r="38" spans="1:15" ht="21.75" customHeight="1">
      <c r="A38" s="150"/>
      <c r="B38" s="418" t="s">
        <v>122</v>
      </c>
      <c r="C38" s="232"/>
      <c r="D38" s="896" t="str">
        <f>IF(ISBLANK(Programmatic!L26),"",(Programmatic!L26))</f>
        <v/>
      </c>
      <c r="E38" s="897"/>
      <c r="F38" s="897"/>
      <c r="G38" s="898"/>
      <c r="H38" s="185"/>
      <c r="I38" s="856"/>
      <c r="J38" s="857"/>
      <c r="K38" s="857"/>
      <c r="L38" s="857"/>
      <c r="M38" s="857"/>
      <c r="N38" s="858"/>
      <c r="O38" s="35"/>
    </row>
    <row r="39" spans="1:15" ht="21.75" customHeight="1">
      <c r="A39" s="150"/>
      <c r="B39" s="418" t="s">
        <v>123</v>
      </c>
      <c r="C39" s="232"/>
      <c r="D39" s="896" t="str">
        <f>IF(ISBLANK(Programmatic!L27),"",(Programmatic!L27))</f>
        <v>Number of prison inmates</v>
      </c>
      <c r="E39" s="897"/>
      <c r="F39" s="897"/>
      <c r="G39" s="898"/>
      <c r="H39" s="185"/>
      <c r="I39" s="856"/>
      <c r="J39" s="857"/>
      <c r="K39" s="857"/>
      <c r="L39" s="857"/>
      <c r="M39" s="857"/>
      <c r="N39" s="858"/>
      <c r="O39" s="35"/>
    </row>
    <row r="40" spans="1:15" ht="21.75" customHeight="1">
      <c r="A40" s="150"/>
      <c r="B40" s="418" t="s">
        <v>124</v>
      </c>
      <c r="C40" s="232"/>
      <c r="D40" s="896" t="str">
        <f>IF(ISBLANK(Programmatic!L28),"",(Programmatic!L28))</f>
        <v/>
      </c>
      <c r="E40" s="897"/>
      <c r="F40" s="897"/>
      <c r="G40" s="898"/>
      <c r="H40" s="185"/>
      <c r="I40" s="856"/>
      <c r="J40" s="857"/>
      <c r="K40" s="857"/>
      <c r="L40" s="857"/>
      <c r="M40" s="857"/>
      <c r="N40" s="858"/>
      <c r="O40" s="35"/>
    </row>
    <row r="41" spans="1:15" ht="21.75" customHeight="1" thickBot="1">
      <c r="A41" s="150"/>
      <c r="B41" s="418" t="s">
        <v>125</v>
      </c>
      <c r="C41" s="190"/>
      <c r="D41" s="896" t="str">
        <f>IF(ISBLANK(Programmatic!L29),"",(Programmatic!L29))</f>
        <v/>
      </c>
      <c r="E41" s="897"/>
      <c r="F41" s="897"/>
      <c r="G41" s="898"/>
      <c r="H41" s="185"/>
      <c r="I41" s="913"/>
      <c r="J41" s="914"/>
      <c r="K41" s="914"/>
      <c r="L41" s="914"/>
      <c r="M41" s="914"/>
      <c r="N41" s="915"/>
      <c r="O41" s="35"/>
    </row>
    <row r="42" spans="1:15" ht="13.5">
      <c r="A42" s="150"/>
      <c r="B42" s="191"/>
      <c r="C42" s="191"/>
      <c r="D42" s="192"/>
      <c r="E42" s="150"/>
      <c r="F42" s="191"/>
      <c r="G42" s="191"/>
      <c r="H42" s="150"/>
      <c r="I42" s="193"/>
      <c r="J42" s="150"/>
      <c r="K42" s="194"/>
      <c r="L42" s="194"/>
      <c r="M42" s="194"/>
      <c r="N42" s="194"/>
      <c r="O42" s="35"/>
    </row>
  </sheetData>
  <sheetProtection password="CFC9" sheet="1"/>
  <mergeCells count="65">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B26:N26"/>
    <mergeCell ref="D23:G23"/>
    <mergeCell ref="D12:G12"/>
    <mergeCell ref="I12:N12"/>
    <mergeCell ref="I22:N22"/>
    <mergeCell ref="B2:N2"/>
    <mergeCell ref="E5:K5"/>
    <mergeCell ref="E6:K6"/>
    <mergeCell ref="E3:K3"/>
    <mergeCell ref="C4:D4"/>
    <mergeCell ref="E4:K4"/>
    <mergeCell ref="C3:D3"/>
    <mergeCell ref="I11:N11"/>
    <mergeCell ref="I18:N18"/>
    <mergeCell ref="D18:G18"/>
    <mergeCell ref="D20:G20"/>
    <mergeCell ref="I21:N21"/>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95" zoomScaleNormal="95" zoomScaleSheetLayoutView="100" zoomScalePageLayoutView="95" workbookViewId="0"/>
  </sheetViews>
  <sheetFormatPr defaultColWidth="11" defaultRowHeight="14.5"/>
  <cols>
    <col min="1" max="1" width="4.1796875" customWidth="1"/>
    <col min="2" max="2" width="14.453125" customWidth="1"/>
    <col min="3" max="3" width="12.453125" customWidth="1"/>
    <col min="4" max="4" width="11.453125" customWidth="1"/>
    <col min="5" max="5" width="19" customWidth="1"/>
    <col min="6" max="6" width="1.453125" customWidth="1"/>
    <col min="7" max="7" width="11.453125" customWidth="1"/>
    <col min="8" max="8" width="9.453125" customWidth="1"/>
    <col min="9" max="9" width="11.453125" customWidth="1"/>
    <col min="10" max="10" width="12.453125" customWidth="1"/>
    <col min="11" max="11" width="10.453125" customWidth="1"/>
    <col min="12" max="12" width="9.6328125" customWidth="1"/>
  </cols>
  <sheetData>
    <row r="1" spans="1:13" ht="30.75" customHeight="1"/>
    <row r="2" spans="1:13" ht="27.75" customHeight="1">
      <c r="B2" s="803" t="str">
        <f>+"Dashboard:  "&amp;"  "&amp;IF(+'Data Entry'!C4="Please Select","",'Data Entry'!C4&amp;" - ")&amp;IF('Data Entry'!G6="Please Select","",'Data Entry'!G6)</f>
        <v>Dashboard:    Georgia - HIV / AIDS</v>
      </c>
      <c r="C2" s="803"/>
      <c r="D2" s="803"/>
      <c r="E2" s="803"/>
      <c r="F2" s="803"/>
      <c r="G2" s="803"/>
      <c r="H2" s="803"/>
      <c r="I2" s="803"/>
      <c r="J2" s="803"/>
      <c r="K2" s="803"/>
      <c r="L2" s="803"/>
    </row>
    <row r="3" spans="1:13">
      <c r="B3" s="24" t="str">
        <f>+IF('Data Entry'!G8="Please Select","",'Data Entry'!G8)</f>
        <v>NFM</v>
      </c>
      <c r="C3" s="801" t="str">
        <f>+IF('Data Entry'!I8="Please Select","",'Data Entry'!I8)</f>
        <v>N/A</v>
      </c>
      <c r="D3" s="801"/>
      <c r="E3" s="802"/>
      <c r="F3" s="802"/>
      <c r="G3" s="802"/>
      <c r="H3" s="802"/>
      <c r="I3" s="802"/>
      <c r="J3" s="805" t="str">
        <f>+'Data Entry'!B16</f>
        <v>Report Period:</v>
      </c>
      <c r="K3" s="805"/>
      <c r="L3" s="198" t="str">
        <f>+'Data Entry'!C16</f>
        <v>P12</v>
      </c>
      <c r="M3" s="85"/>
    </row>
    <row r="4" spans="1:13">
      <c r="B4" s="24" t="str">
        <f>+'Data Entry'!B12</f>
        <v>Latest Rating:</v>
      </c>
      <c r="C4" s="969" t="str">
        <f>+IF('Data Entry'!C12="Please Select","",'Data Entry'!C12)</f>
        <v>B1</v>
      </c>
      <c r="D4" s="969"/>
      <c r="E4" s="802" t="str">
        <f>+'Data Entry'!C8</f>
        <v>NCDC</v>
      </c>
      <c r="F4" s="802"/>
      <c r="G4" s="802"/>
      <c r="H4" s="802"/>
      <c r="I4" s="802"/>
      <c r="J4" s="805" t="str">
        <f>+'Data Entry'!D16</f>
        <v>From:</v>
      </c>
      <c r="K4" s="809"/>
      <c r="L4" s="199">
        <f>+IF(ISBLANK('Data Entry'!E16),"",'Data Entry'!E16)</f>
        <v>43556</v>
      </c>
    </row>
    <row r="5" spans="1:13" ht="18.75" customHeight="1">
      <c r="B5" s="24"/>
      <c r="C5" s="24"/>
      <c r="D5" s="802" t="str">
        <f>+'Data Entry'!G4</f>
        <v xml:space="preserve">Sustaining and Scaling up the Effective HIV/AIDS Prevention, Treatment and Care in Georgia </v>
      </c>
      <c r="E5" s="802"/>
      <c r="F5" s="802"/>
      <c r="G5" s="802"/>
      <c r="H5" s="802"/>
      <c r="I5" s="802"/>
      <c r="J5" s="802"/>
      <c r="K5" s="24" t="str">
        <f>+'Data Entry'!F16</f>
        <v>To:</v>
      </c>
      <c r="L5" s="199">
        <f>+IF(ISBLANK('Data Entry'!G16),"",'Data Entry'!G16)</f>
        <v>43646</v>
      </c>
    </row>
    <row r="6" spans="1:13" ht="18.5">
      <c r="B6" s="23"/>
      <c r="C6" s="24"/>
      <c r="D6" s="25"/>
      <c r="E6" s="804" t="s">
        <v>371</v>
      </c>
      <c r="F6" s="804"/>
      <c r="G6" s="804"/>
      <c r="H6" s="804"/>
      <c r="I6" s="804"/>
    </row>
    <row r="7" spans="1:13" ht="18.5">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53"/>
      <c r="C10" s="954"/>
      <c r="D10" s="954"/>
      <c r="E10" s="954"/>
      <c r="F10" s="954"/>
      <c r="G10" s="954"/>
      <c r="H10" s="954"/>
      <c r="I10" s="954"/>
      <c r="J10" s="954"/>
      <c r="K10" s="954"/>
      <c r="L10" s="955"/>
    </row>
    <row r="11" spans="1:13">
      <c r="B11" s="956"/>
      <c r="C11" s="957"/>
      <c r="D11" s="957"/>
      <c r="E11" s="957"/>
      <c r="F11" s="957"/>
      <c r="G11" s="957"/>
      <c r="H11" s="957"/>
      <c r="I11" s="957"/>
      <c r="J11" s="957"/>
      <c r="K11" s="957"/>
      <c r="L11" s="958"/>
    </row>
    <row r="12" spans="1:13" ht="15" thickBot="1"/>
    <row r="13" spans="1:13" ht="26.25" customHeight="1" thickBot="1">
      <c r="B13" s="927" t="s">
        <v>305</v>
      </c>
      <c r="C13" s="928"/>
      <c r="D13" s="928"/>
      <c r="E13" s="929"/>
      <c r="F13" s="77"/>
      <c r="G13" s="923" t="s">
        <v>128</v>
      </c>
      <c r="H13" s="924"/>
      <c r="I13" s="924"/>
      <c r="J13" s="78" t="s">
        <v>96</v>
      </c>
      <c r="K13" s="924" t="s">
        <v>292</v>
      </c>
      <c r="L13" s="959"/>
    </row>
    <row r="14" spans="1:13">
      <c r="A14" s="920" t="s">
        <v>306</v>
      </c>
      <c r="B14" s="948"/>
      <c r="C14" s="948"/>
      <c r="D14" s="948"/>
      <c r="E14" s="949"/>
      <c r="F14" s="46"/>
      <c r="G14" s="965"/>
      <c r="H14" s="966"/>
      <c r="I14" s="966"/>
      <c r="J14" s="964"/>
      <c r="K14" s="966"/>
      <c r="L14" s="970"/>
    </row>
    <row r="15" spans="1:13">
      <c r="A15" s="921"/>
      <c r="B15" s="948"/>
      <c r="C15" s="948"/>
      <c r="D15" s="948"/>
      <c r="E15" s="949"/>
      <c r="F15" s="46"/>
      <c r="G15" s="925"/>
      <c r="H15" s="916"/>
      <c r="I15" s="916"/>
      <c r="J15" s="916"/>
      <c r="K15" s="916"/>
      <c r="L15" s="917"/>
    </row>
    <row r="16" spans="1:13">
      <c r="A16" s="921"/>
      <c r="B16" s="948"/>
      <c r="C16" s="948"/>
      <c r="D16" s="948"/>
      <c r="E16" s="949"/>
      <c r="F16" s="46"/>
      <c r="G16" s="930"/>
      <c r="H16" s="916"/>
      <c r="I16" s="916"/>
      <c r="J16" s="916"/>
      <c r="K16" s="916"/>
      <c r="L16" s="917"/>
    </row>
    <row r="17" spans="1:12">
      <c r="A17" s="921"/>
      <c r="B17" s="948"/>
      <c r="C17" s="948"/>
      <c r="D17" s="948"/>
      <c r="E17" s="949"/>
      <c r="F17" s="46"/>
      <c r="G17" s="925"/>
      <c r="H17" s="916"/>
      <c r="I17" s="916"/>
      <c r="J17" s="916"/>
      <c r="K17" s="916"/>
      <c r="L17" s="917"/>
    </row>
    <row r="18" spans="1:12">
      <c r="A18" s="921"/>
      <c r="B18" s="948"/>
      <c r="C18" s="948"/>
      <c r="D18" s="948"/>
      <c r="E18" s="949"/>
      <c r="F18" s="46"/>
      <c r="G18" s="960"/>
      <c r="H18" s="961"/>
      <c r="I18" s="962"/>
      <c r="J18" s="916"/>
      <c r="K18" s="916"/>
      <c r="L18" s="917"/>
    </row>
    <row r="19" spans="1:12" ht="30.75" customHeight="1">
      <c r="A19" s="921"/>
      <c r="B19" s="948"/>
      <c r="C19" s="948"/>
      <c r="D19" s="948"/>
      <c r="E19" s="949"/>
      <c r="F19" s="46"/>
      <c r="G19" s="937"/>
      <c r="H19" s="938"/>
      <c r="I19" s="963"/>
      <c r="J19" s="916"/>
      <c r="K19" s="916"/>
      <c r="L19" s="917"/>
    </row>
    <row r="20" spans="1:12">
      <c r="A20" s="921"/>
      <c r="B20" s="948"/>
      <c r="C20" s="948"/>
      <c r="D20" s="948"/>
      <c r="E20" s="949"/>
      <c r="F20" s="46"/>
      <c r="G20" s="925"/>
      <c r="H20" s="916"/>
      <c r="I20" s="916"/>
      <c r="J20" s="916"/>
      <c r="K20" s="916"/>
      <c r="L20" s="917"/>
    </row>
    <row r="21" spans="1:12">
      <c r="A21" s="921"/>
      <c r="B21" s="948"/>
      <c r="C21" s="948"/>
      <c r="D21" s="948"/>
      <c r="E21" s="949"/>
      <c r="F21" s="46"/>
      <c r="G21" s="925"/>
      <c r="H21" s="916"/>
      <c r="I21" s="916"/>
      <c r="J21" s="916"/>
      <c r="K21" s="916"/>
      <c r="L21" s="917"/>
    </row>
    <row r="22" spans="1:12">
      <c r="A22" s="921"/>
      <c r="B22" s="948"/>
      <c r="C22" s="948"/>
      <c r="D22" s="948"/>
      <c r="E22" s="949"/>
      <c r="F22" s="46"/>
      <c r="G22" s="925"/>
      <c r="H22" s="916"/>
      <c r="I22" s="916"/>
      <c r="J22" s="916"/>
      <c r="K22" s="916"/>
      <c r="L22" s="917"/>
    </row>
    <row r="23" spans="1:12">
      <c r="A23" s="921"/>
      <c r="B23" s="948"/>
      <c r="C23" s="948"/>
      <c r="D23" s="948"/>
      <c r="E23" s="949"/>
      <c r="F23" s="46"/>
      <c r="G23" s="925"/>
      <c r="H23" s="916"/>
      <c r="I23" s="916"/>
      <c r="J23" s="916"/>
      <c r="K23" s="916"/>
      <c r="L23" s="917"/>
    </row>
    <row r="24" spans="1:12">
      <c r="A24" s="921"/>
      <c r="B24" s="948"/>
      <c r="C24" s="948"/>
      <c r="D24" s="948"/>
      <c r="E24" s="949"/>
      <c r="F24" s="46"/>
      <c r="G24" s="930"/>
      <c r="H24" s="916"/>
      <c r="I24" s="916"/>
      <c r="J24" s="916"/>
      <c r="K24" s="916"/>
      <c r="L24" s="917"/>
    </row>
    <row r="25" spans="1:12" ht="15" thickBot="1">
      <c r="A25" s="922"/>
      <c r="B25" s="950"/>
      <c r="C25" s="950"/>
      <c r="D25" s="950"/>
      <c r="E25" s="951"/>
      <c r="F25" s="46"/>
      <c r="G25" s="931"/>
      <c r="H25" s="932"/>
      <c r="I25" s="932"/>
      <c r="J25" s="932"/>
      <c r="K25" s="932"/>
      <c r="L25" s="967"/>
    </row>
    <row r="27" spans="1:12" ht="18.5">
      <c r="E27" s="926" t="s">
        <v>335</v>
      </c>
      <c r="F27" s="926"/>
      <c r="G27" s="926"/>
      <c r="H27" s="926"/>
      <c r="I27" s="926"/>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27" t="s">
        <v>128</v>
      </c>
      <c r="C31" s="928"/>
      <c r="D31" s="928"/>
      <c r="E31" s="929"/>
      <c r="F31" s="77"/>
      <c r="G31" s="923" t="s">
        <v>320</v>
      </c>
      <c r="H31" s="924"/>
      <c r="I31" s="924"/>
      <c r="J31" s="78" t="s">
        <v>294</v>
      </c>
      <c r="K31" s="924" t="s">
        <v>292</v>
      </c>
      <c r="L31" s="959"/>
    </row>
    <row r="32" spans="1:12" ht="14.25" customHeight="1">
      <c r="A32" s="920" t="s">
        <v>307</v>
      </c>
      <c r="B32" s="934"/>
      <c r="C32" s="935"/>
      <c r="D32" s="935"/>
      <c r="E32" s="936"/>
      <c r="F32" s="46"/>
      <c r="G32" s="952"/>
      <c r="H32" s="918"/>
      <c r="I32" s="918"/>
      <c r="J32" s="918"/>
      <c r="K32" s="918"/>
      <c r="L32" s="972"/>
    </row>
    <row r="33" spans="1:12" ht="16.5" customHeight="1">
      <c r="A33" s="921"/>
      <c r="B33" s="937"/>
      <c r="C33" s="938"/>
      <c r="D33" s="938"/>
      <c r="E33" s="939"/>
      <c r="F33" s="46"/>
      <c r="G33" s="933"/>
      <c r="H33" s="919"/>
      <c r="I33" s="919"/>
      <c r="J33" s="919"/>
      <c r="K33" s="919"/>
      <c r="L33" s="968"/>
    </row>
    <row r="34" spans="1:12">
      <c r="A34" s="921"/>
      <c r="B34" s="940" t="str">
        <f>IF(Recommendations!I43="","",Recommendations!I43)</f>
        <v/>
      </c>
      <c r="C34" s="941"/>
      <c r="D34" s="941"/>
      <c r="E34" s="942"/>
      <c r="F34" s="46"/>
      <c r="G34" s="933"/>
      <c r="H34" s="919"/>
      <c r="I34" s="919"/>
      <c r="J34" s="919"/>
      <c r="K34" s="919"/>
      <c r="L34" s="968"/>
    </row>
    <row r="35" spans="1:12">
      <c r="A35" s="921"/>
      <c r="B35" s="940"/>
      <c r="C35" s="941"/>
      <c r="D35" s="941"/>
      <c r="E35" s="942"/>
      <c r="F35" s="46"/>
      <c r="G35" s="933"/>
      <c r="H35" s="919"/>
      <c r="I35" s="919"/>
      <c r="J35" s="919"/>
      <c r="K35" s="919"/>
      <c r="L35" s="968"/>
    </row>
    <row r="36" spans="1:12">
      <c r="A36" s="921"/>
      <c r="B36" s="940" t="str">
        <f>+IF(Recommendations!I53="","",Recommendations!I53)</f>
        <v/>
      </c>
      <c r="C36" s="941"/>
      <c r="D36" s="941"/>
      <c r="E36" s="942"/>
      <c r="F36" s="46"/>
      <c r="G36" s="933"/>
      <c r="H36" s="919"/>
      <c r="I36" s="919"/>
      <c r="J36" s="919"/>
      <c r="K36" s="919"/>
      <c r="L36" s="968"/>
    </row>
    <row r="37" spans="1:12">
      <c r="A37" s="921"/>
      <c r="B37" s="940"/>
      <c r="C37" s="941"/>
      <c r="D37" s="941"/>
      <c r="E37" s="942"/>
      <c r="F37" s="46"/>
      <c r="G37" s="933"/>
      <c r="H37" s="919"/>
      <c r="I37" s="919"/>
      <c r="J37" s="919"/>
      <c r="K37" s="919"/>
      <c r="L37" s="968"/>
    </row>
    <row r="38" spans="1:12">
      <c r="A38" s="921"/>
      <c r="B38" s="940"/>
      <c r="C38" s="941"/>
      <c r="D38" s="941"/>
      <c r="E38" s="942"/>
      <c r="F38" s="46"/>
      <c r="G38" s="933"/>
      <c r="H38" s="919"/>
      <c r="I38" s="919"/>
      <c r="J38" s="919"/>
      <c r="K38" s="919"/>
      <c r="L38" s="968"/>
    </row>
    <row r="39" spans="1:12">
      <c r="A39" s="921"/>
      <c r="B39" s="940"/>
      <c r="C39" s="941"/>
      <c r="D39" s="941"/>
      <c r="E39" s="942"/>
      <c r="F39" s="46"/>
      <c r="G39" s="933"/>
      <c r="H39" s="919"/>
      <c r="I39" s="919"/>
      <c r="J39" s="919"/>
      <c r="K39" s="919"/>
      <c r="L39" s="968"/>
    </row>
    <row r="40" spans="1:12">
      <c r="A40" s="921"/>
      <c r="B40" s="940"/>
      <c r="C40" s="941"/>
      <c r="D40" s="941"/>
      <c r="E40" s="942"/>
      <c r="F40" s="46"/>
      <c r="G40" s="933"/>
      <c r="H40" s="919"/>
      <c r="I40" s="919"/>
      <c r="J40" s="919"/>
      <c r="K40" s="919"/>
      <c r="L40" s="968"/>
    </row>
    <row r="41" spans="1:12">
      <c r="A41" s="921"/>
      <c r="B41" s="940"/>
      <c r="C41" s="941"/>
      <c r="D41" s="941"/>
      <c r="E41" s="942"/>
      <c r="F41" s="46"/>
      <c r="G41" s="933"/>
      <c r="H41" s="919"/>
      <c r="I41" s="919"/>
      <c r="J41" s="919"/>
      <c r="K41" s="919"/>
      <c r="L41" s="968"/>
    </row>
    <row r="42" spans="1:12">
      <c r="A42" s="921"/>
      <c r="B42" s="940"/>
      <c r="C42" s="941"/>
      <c r="D42" s="941"/>
      <c r="E42" s="942"/>
      <c r="F42" s="46"/>
      <c r="G42" s="933"/>
      <c r="H42" s="919"/>
      <c r="I42" s="919"/>
      <c r="J42" s="919"/>
      <c r="K42" s="919"/>
      <c r="L42" s="968"/>
    </row>
    <row r="43" spans="1:12" ht="15" thickBot="1">
      <c r="A43" s="922"/>
      <c r="B43" s="943"/>
      <c r="C43" s="944"/>
      <c r="D43" s="944"/>
      <c r="E43" s="945"/>
      <c r="F43" s="46"/>
      <c r="G43" s="946"/>
      <c r="H43" s="947"/>
      <c r="I43" s="947"/>
      <c r="J43" s="947"/>
      <c r="K43" s="947"/>
      <c r="L43" s="971"/>
    </row>
  </sheetData>
  <sheetProtection password="CFC9" sheet="1"/>
  <mergeCells count="67">
    <mergeCell ref="K42:L43"/>
    <mergeCell ref="K36:L37"/>
    <mergeCell ref="K38:L39"/>
    <mergeCell ref="K32:L33"/>
    <mergeCell ref="J36:J37"/>
    <mergeCell ref="J40:J41"/>
    <mergeCell ref="J42:J43"/>
    <mergeCell ref="J38:J39"/>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A14:A25"/>
    <mergeCell ref="J18:J19"/>
    <mergeCell ref="J16:J17"/>
    <mergeCell ref="J14:J15"/>
    <mergeCell ref="B16:E17"/>
    <mergeCell ref="G14:I15"/>
    <mergeCell ref="B34:E35"/>
    <mergeCell ref="G34:I35"/>
    <mergeCell ref="J34:J35"/>
    <mergeCell ref="B36:E37"/>
    <mergeCell ref="G36:I37"/>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molhsa</cp:lastModifiedBy>
  <cp:lastPrinted>2009-11-06T15:57:56Z</cp:lastPrinted>
  <dcterms:created xsi:type="dcterms:W3CDTF">2008-11-20T16:06:13Z</dcterms:created>
  <dcterms:modified xsi:type="dcterms:W3CDTF">2019-10-17T10:07:54Z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